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<sst xmlns="http://schemas.openxmlformats.org/spreadsheetml/2006/main" count="115" uniqueCount="55">
  <si>
    <t>Kapitalbehov i tusental kronor respektive månad</t>
  </si>
  <si>
    <t>Månad</t>
  </si>
  <si>
    <t>Summa</t>
  </si>
  <si>
    <t>Intäkter och kapital</t>
  </si>
  <si>
    <t>Aktiekapital</t>
  </si>
  <si>
    <t>Lån ALMI</t>
  </si>
  <si>
    <t>Lån bank</t>
  </si>
  <si>
    <t>Inbetald moms</t>
  </si>
  <si>
    <t>SUMMA</t>
  </si>
  <si>
    <t>Investering produktion</t>
  </si>
  <si>
    <t xml:space="preserve"> - iordningställande lokaler</t>
  </si>
  <si>
    <t xml:space="preserve"> -maskiner för tillverkning/inst.</t>
  </si>
  <si>
    <t xml:space="preserve"> -gaffeltruck stor + liten</t>
  </si>
  <si>
    <t>Oförutsedda kostnader 10%</t>
  </si>
  <si>
    <t xml:space="preserve">Materialkostnader  </t>
  </si>
  <si>
    <t>Råvaror</t>
  </si>
  <si>
    <t>Tullavgift</t>
  </si>
  <si>
    <t>Embalage, förpackning</t>
  </si>
  <si>
    <t>Transporter</t>
  </si>
  <si>
    <t>Administrativ utrustning</t>
  </si>
  <si>
    <t xml:space="preserve"> -kontorsutrustning</t>
  </si>
  <si>
    <t xml:space="preserve"> -förbrukningsmateriel</t>
  </si>
  <si>
    <t xml:space="preserve"> -installation</t>
  </si>
  <si>
    <t xml:space="preserve"> -övriga adm tjänster</t>
  </si>
  <si>
    <t>Kostnader för arbetskraft</t>
  </si>
  <si>
    <t>Löner</t>
  </si>
  <si>
    <t>Sociala avgifter</t>
  </si>
  <si>
    <t>Fastighetskostnader</t>
  </si>
  <si>
    <t xml:space="preserve"> -hyra</t>
  </si>
  <si>
    <t xml:space="preserve"> -el </t>
  </si>
  <si>
    <t xml:space="preserve"> -VA</t>
  </si>
  <si>
    <t xml:space="preserve"> -sophantering</t>
  </si>
  <si>
    <t xml:space="preserve"> -fastighetsskötsel</t>
  </si>
  <si>
    <t>Kapitalkostnader</t>
  </si>
  <si>
    <t>amortering</t>
  </si>
  <si>
    <t>ränta 7%</t>
  </si>
  <si>
    <t>amortering checkräkning</t>
  </si>
  <si>
    <t>ränta 12%</t>
  </si>
  <si>
    <t>Utbetald moms</t>
  </si>
  <si>
    <t>Momsredovisning</t>
  </si>
  <si>
    <t>TOTAL</t>
  </si>
  <si>
    <t>RESULTAT</t>
  </si>
  <si>
    <t>Mängd av rårice, inköp, per Ton</t>
  </si>
  <si>
    <t>Resultat per månad</t>
  </si>
  <si>
    <t>råris kvar, Ton</t>
  </si>
  <si>
    <t>Pris av det, Tkr</t>
  </si>
  <si>
    <t>ränta 12% (inköpskredit)</t>
  </si>
  <si>
    <t>Inköpskredit (aktieägares lån)</t>
  </si>
  <si>
    <t>Försäljning ris</t>
  </si>
  <si>
    <t xml:space="preserve"> -reservdelar, verktyg</t>
  </si>
  <si>
    <t>Försäljning kli &amp; brutet ris</t>
  </si>
  <si>
    <t xml:space="preserve">Oförutsedda kostnader </t>
  </si>
  <si>
    <t>Checklimit  1000</t>
  </si>
  <si>
    <t xml:space="preserve">Checklimit 1000 </t>
  </si>
  <si>
    <t>Kvarstående checklimit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</si>
</sst>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1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6" fillId="0" borderId="3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1" fontId="8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/>
    </xf>
    <xf numFmtId="1" fontId="8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 horizontal="center"/>
    </xf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1" fontId="9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7" fillId="0" borderId="5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" fontId="12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13" fillId="0" borderId="0" xfId="0" applyNumberFormat="1" applyFont="1" applyBorder="1" applyAlignment="1">
      <alignment horizontal="center"/>
    </xf>
    <xf numFmtId="1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tabSelected="1" workbookViewId="0" topLeftCell="A46">
      <selection activeCell="AA10" sqref="AA10"/>
    </sheetView>
  </sheetViews>
  <sheetFormatPr defaultColWidth="9.00390625" defaultRowHeight="15.75"/>
  <cols>
    <col min="1" max="1" width="2.375" style="9" customWidth="1"/>
    <col min="2" max="2" width="20.50390625" style="9" customWidth="1"/>
    <col min="3" max="26" width="4.625" style="9" customWidth="1"/>
    <col min="27" max="27" width="6.125" style="9" customWidth="1"/>
    <col min="28" max="28" width="5.00390625" style="9" customWidth="1"/>
    <col min="29" max="29" width="1.4921875" style="0" customWidth="1"/>
    <col min="30" max="30" width="9.00390625" style="37" customWidth="1"/>
  </cols>
  <sheetData>
    <row r="1" ht="14.25" customHeight="1">
      <c r="C1" s="9" t="s">
        <v>0</v>
      </c>
    </row>
    <row r="2" spans="1:30" ht="14.25" customHeight="1" thickBot="1">
      <c r="A2" s="13"/>
      <c r="B2" s="8" t="s">
        <v>1</v>
      </c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>
        <v>6</v>
      </c>
      <c r="I2" s="14">
        <v>7</v>
      </c>
      <c r="J2" s="14">
        <v>8</v>
      </c>
      <c r="K2" s="14">
        <v>9</v>
      </c>
      <c r="L2" s="14">
        <v>10</v>
      </c>
      <c r="M2" s="14">
        <v>11</v>
      </c>
      <c r="N2" s="14">
        <v>12</v>
      </c>
      <c r="O2" s="14">
        <v>13</v>
      </c>
      <c r="P2" s="14">
        <v>14</v>
      </c>
      <c r="Q2" s="14">
        <v>15</v>
      </c>
      <c r="R2" s="14">
        <v>16</v>
      </c>
      <c r="S2" s="14">
        <v>17</v>
      </c>
      <c r="T2" s="14">
        <v>18</v>
      </c>
      <c r="U2" s="14">
        <v>19</v>
      </c>
      <c r="V2" s="14">
        <v>20</v>
      </c>
      <c r="W2" s="14">
        <v>21</v>
      </c>
      <c r="X2" s="14">
        <v>22</v>
      </c>
      <c r="Y2" s="14">
        <v>23</v>
      </c>
      <c r="Z2" s="14">
        <v>24</v>
      </c>
      <c r="AA2" s="13" t="s">
        <v>2</v>
      </c>
      <c r="AB2" s="13"/>
      <c r="AC2" s="32"/>
      <c r="AD2" s="38" t="s">
        <v>1</v>
      </c>
    </row>
    <row r="3" spans="1:30" ht="13.5" customHeight="1" thickTop="1">
      <c r="A3" s="15" t="s">
        <v>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4"/>
      <c r="AC3" s="33" t="s">
        <v>3</v>
      </c>
      <c r="AD3" s="38"/>
    </row>
    <row r="4" spans="2:30" ht="13.5" customHeight="1">
      <c r="B4" s="9" t="s">
        <v>4</v>
      </c>
      <c r="C4" s="16">
        <v>400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7">
        <f aca="true" t="shared" si="0" ref="AA4:AA12">SUM(C4:Z4)</f>
        <v>400</v>
      </c>
      <c r="AC4" s="5"/>
      <c r="AD4" s="38" t="s">
        <v>4</v>
      </c>
    </row>
    <row r="5" spans="2:30" ht="13.5" customHeight="1">
      <c r="B5" s="9" t="s">
        <v>5</v>
      </c>
      <c r="C5" s="16"/>
      <c r="D5" s="16"/>
      <c r="E5" s="16">
        <v>1000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7">
        <f t="shared" si="0"/>
        <v>1000</v>
      </c>
      <c r="AC5" s="5"/>
      <c r="AD5" s="38" t="s">
        <v>5</v>
      </c>
    </row>
    <row r="6" spans="2:30" ht="13.5" customHeight="1">
      <c r="B6" s="9" t="s">
        <v>6</v>
      </c>
      <c r="C6" s="16"/>
      <c r="D6" s="16"/>
      <c r="E6" s="16">
        <v>900</v>
      </c>
      <c r="F6" s="16">
        <v>1100</v>
      </c>
      <c r="G6" s="16"/>
      <c r="H6" s="16"/>
      <c r="I6" s="16"/>
      <c r="J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7">
        <f t="shared" si="0"/>
        <v>2000</v>
      </c>
      <c r="AC6" s="5"/>
      <c r="AD6" s="38" t="s">
        <v>6</v>
      </c>
    </row>
    <row r="7" spans="2:30" ht="13.5" customHeight="1">
      <c r="B7" s="9" t="s">
        <v>52</v>
      </c>
      <c r="C7" s="16"/>
      <c r="D7" s="16"/>
      <c r="E7" s="16"/>
      <c r="F7" s="16">
        <v>450</v>
      </c>
      <c r="G7" s="16"/>
      <c r="H7" s="16">
        <v>80</v>
      </c>
      <c r="I7" s="16"/>
      <c r="J7" s="16">
        <v>290</v>
      </c>
      <c r="K7" s="16">
        <v>220</v>
      </c>
      <c r="L7" s="16"/>
      <c r="M7" s="16"/>
      <c r="N7" s="16">
        <v>30</v>
      </c>
      <c r="O7" s="16"/>
      <c r="P7" s="16"/>
      <c r="Q7" s="16">
        <v>470</v>
      </c>
      <c r="R7" s="16"/>
      <c r="S7" s="16"/>
      <c r="T7" s="16"/>
      <c r="U7" s="16"/>
      <c r="V7" s="16"/>
      <c r="W7" s="16"/>
      <c r="X7" s="16"/>
      <c r="Y7" s="16"/>
      <c r="Z7" s="16"/>
      <c r="AA7" s="17"/>
      <c r="AC7" s="5"/>
      <c r="AD7" s="38" t="s">
        <v>53</v>
      </c>
    </row>
    <row r="8" spans="2:30" ht="13.5" customHeight="1">
      <c r="B8" s="9" t="s">
        <v>47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7">
        <f t="shared" si="0"/>
        <v>0</v>
      </c>
      <c r="AC8" s="5"/>
      <c r="AD8" s="38" t="s">
        <v>47</v>
      </c>
    </row>
    <row r="9" spans="2:30" ht="13.5" customHeight="1">
      <c r="B9" s="9" t="s">
        <v>48</v>
      </c>
      <c r="C9" s="16"/>
      <c r="D9" s="16"/>
      <c r="E9" s="16"/>
      <c r="F9" s="16"/>
      <c r="G9" s="16"/>
      <c r="H9" s="16">
        <f>F14*0.9*8.83/2</f>
        <v>397.35</v>
      </c>
      <c r="I9" s="16">
        <f>F14*0.9*8.83/2</f>
        <v>397.35</v>
      </c>
      <c r="J9" s="16">
        <f>H14*0.9*8.83/2</f>
        <v>397.35</v>
      </c>
      <c r="K9" s="16">
        <f>H14*0.9*8.83/2</f>
        <v>397.35</v>
      </c>
      <c r="L9" s="16">
        <f>J14*0.9*8.83</f>
        <v>794.7</v>
      </c>
      <c r="M9" s="16">
        <f aca="true" t="shared" si="1" ref="M9:Z9">K14*0.9*8.83</f>
        <v>794.7</v>
      </c>
      <c r="N9" s="16">
        <f t="shared" si="1"/>
        <v>794.7</v>
      </c>
      <c r="O9" s="16">
        <f t="shared" si="1"/>
        <v>953.64</v>
      </c>
      <c r="P9" s="16">
        <f t="shared" si="1"/>
        <v>1033.11</v>
      </c>
      <c r="Q9" s="16">
        <f t="shared" si="1"/>
        <v>1112.58</v>
      </c>
      <c r="R9" s="16">
        <f t="shared" si="1"/>
        <v>1112.58</v>
      </c>
      <c r="S9" s="16">
        <f t="shared" si="1"/>
        <v>1271.52</v>
      </c>
      <c r="T9" s="16">
        <f t="shared" si="1"/>
        <v>1271.52</v>
      </c>
      <c r="U9" s="16">
        <f t="shared" si="1"/>
        <v>1430.46</v>
      </c>
      <c r="V9" s="16">
        <f t="shared" si="1"/>
        <v>1430.46</v>
      </c>
      <c r="W9" s="16">
        <f t="shared" si="1"/>
        <v>1589.4</v>
      </c>
      <c r="X9" s="16">
        <f t="shared" si="1"/>
        <v>1589.4</v>
      </c>
      <c r="Y9" s="16">
        <f t="shared" si="1"/>
        <v>1748.34</v>
      </c>
      <c r="Z9" s="16">
        <f t="shared" si="1"/>
        <v>1748.34</v>
      </c>
      <c r="AA9" s="17">
        <f t="shared" si="0"/>
        <v>20264.85</v>
      </c>
      <c r="AC9" s="5"/>
      <c r="AD9" s="38" t="s">
        <v>48</v>
      </c>
    </row>
    <row r="10" spans="2:30" ht="13.5" customHeight="1">
      <c r="B10" s="10" t="s">
        <v>50</v>
      </c>
      <c r="C10" s="18"/>
      <c r="D10" s="18"/>
      <c r="E10" s="18"/>
      <c r="F10" s="18"/>
      <c r="G10" s="18"/>
      <c r="H10" s="18">
        <f>F14*0.1*3.6/2</f>
        <v>18</v>
      </c>
      <c r="I10" s="18">
        <f>F14*0.1*3.6/2</f>
        <v>18</v>
      </c>
      <c r="J10" s="18">
        <f>H14*0.1*3.6/2</f>
        <v>18</v>
      </c>
      <c r="K10" s="18">
        <f>H14*0.1*3.6/2</f>
        <v>18</v>
      </c>
      <c r="L10" s="18">
        <f aca="true" t="shared" si="2" ref="L10:Z10">J14*0.1*3.6</f>
        <v>36</v>
      </c>
      <c r="M10" s="18">
        <f t="shared" si="2"/>
        <v>36</v>
      </c>
      <c r="N10" s="18">
        <f t="shared" si="2"/>
        <v>36</v>
      </c>
      <c r="O10" s="18">
        <f t="shared" si="2"/>
        <v>43.2</v>
      </c>
      <c r="P10" s="18">
        <f t="shared" si="2"/>
        <v>46.800000000000004</v>
      </c>
      <c r="Q10" s="18">
        <f t="shared" si="2"/>
        <v>50.4</v>
      </c>
      <c r="R10" s="18">
        <f t="shared" si="2"/>
        <v>50.4</v>
      </c>
      <c r="S10" s="18">
        <f t="shared" si="2"/>
        <v>57.6</v>
      </c>
      <c r="T10" s="18">
        <f t="shared" si="2"/>
        <v>57.6</v>
      </c>
      <c r="U10" s="18">
        <f t="shared" si="2"/>
        <v>64.8</v>
      </c>
      <c r="V10" s="18">
        <f t="shared" si="2"/>
        <v>64.8</v>
      </c>
      <c r="W10" s="18">
        <f t="shared" si="2"/>
        <v>72</v>
      </c>
      <c r="X10" s="18">
        <f t="shared" si="2"/>
        <v>72</v>
      </c>
      <c r="Y10" s="18">
        <f t="shared" si="2"/>
        <v>79.2</v>
      </c>
      <c r="Z10" s="18">
        <f t="shared" si="2"/>
        <v>79.2</v>
      </c>
      <c r="AA10" s="17">
        <f t="shared" si="0"/>
        <v>918</v>
      </c>
      <c r="AB10" s="19"/>
      <c r="AC10" s="5"/>
      <c r="AD10" s="38" t="s">
        <v>50</v>
      </c>
    </row>
    <row r="11" spans="2:30" ht="13.5" customHeight="1" thickBot="1">
      <c r="B11" s="11" t="s">
        <v>7</v>
      </c>
      <c r="C11" s="20"/>
      <c r="D11" s="20"/>
      <c r="E11" s="20"/>
      <c r="F11" s="20"/>
      <c r="G11" s="20"/>
      <c r="H11" s="20">
        <f aca="true" t="shared" si="3" ref="H11:R11">(H9+H10)*0.12</f>
        <v>49.842</v>
      </c>
      <c r="I11" s="20">
        <f t="shared" si="3"/>
        <v>49.842</v>
      </c>
      <c r="J11" s="20">
        <f t="shared" si="3"/>
        <v>49.842</v>
      </c>
      <c r="K11" s="20">
        <f t="shared" si="3"/>
        <v>49.842</v>
      </c>
      <c r="L11" s="20">
        <f t="shared" si="3"/>
        <v>99.684</v>
      </c>
      <c r="M11" s="20">
        <f t="shared" si="3"/>
        <v>99.684</v>
      </c>
      <c r="N11" s="20">
        <f t="shared" si="3"/>
        <v>99.684</v>
      </c>
      <c r="O11" s="20">
        <f t="shared" si="3"/>
        <v>119.6208</v>
      </c>
      <c r="P11" s="20">
        <f t="shared" si="3"/>
        <v>129.58919999999998</v>
      </c>
      <c r="Q11" s="20">
        <f t="shared" si="3"/>
        <v>139.5576</v>
      </c>
      <c r="R11" s="20">
        <f t="shared" si="3"/>
        <v>139.5576</v>
      </c>
      <c r="S11" s="20">
        <f aca="true" t="shared" si="4" ref="S11:Z11">(S9+S10)*0.12</f>
        <v>159.49439999999998</v>
      </c>
      <c r="T11" s="20">
        <f t="shared" si="4"/>
        <v>159.49439999999998</v>
      </c>
      <c r="U11" s="20">
        <f t="shared" si="4"/>
        <v>179.4312</v>
      </c>
      <c r="V11" s="20">
        <f t="shared" si="4"/>
        <v>179.4312</v>
      </c>
      <c r="W11" s="20">
        <f t="shared" si="4"/>
        <v>199.368</v>
      </c>
      <c r="X11" s="20">
        <f t="shared" si="4"/>
        <v>199.368</v>
      </c>
      <c r="Y11" s="20">
        <f t="shared" si="4"/>
        <v>219.3048</v>
      </c>
      <c r="Z11" s="20">
        <f t="shared" si="4"/>
        <v>219.3048</v>
      </c>
      <c r="AA11" s="17">
        <f t="shared" si="0"/>
        <v>2541.942</v>
      </c>
      <c r="AC11" s="5"/>
      <c r="AD11" s="38" t="s">
        <v>7</v>
      </c>
    </row>
    <row r="12" spans="2:30" ht="15" customHeight="1" thickBot="1">
      <c r="B12" s="12" t="s">
        <v>8</v>
      </c>
      <c r="C12" s="1">
        <f aca="true" t="shared" si="5" ref="C12:R12">SUM(C4:C11)</f>
        <v>400</v>
      </c>
      <c r="D12" s="1">
        <f t="shared" si="5"/>
        <v>0</v>
      </c>
      <c r="E12" s="1">
        <f t="shared" si="5"/>
        <v>1900</v>
      </c>
      <c r="F12" s="1">
        <f t="shared" si="5"/>
        <v>1550</v>
      </c>
      <c r="G12" s="1">
        <f t="shared" si="5"/>
        <v>0</v>
      </c>
      <c r="H12" s="1">
        <f t="shared" si="5"/>
        <v>545.192</v>
      </c>
      <c r="I12" s="1">
        <f t="shared" si="5"/>
        <v>465.192</v>
      </c>
      <c r="J12" s="1">
        <f t="shared" si="5"/>
        <v>755.192</v>
      </c>
      <c r="K12" s="1">
        <f t="shared" si="5"/>
        <v>685.192</v>
      </c>
      <c r="L12" s="1">
        <f t="shared" si="5"/>
        <v>930.384</v>
      </c>
      <c r="M12" s="1">
        <f t="shared" si="5"/>
        <v>930.384</v>
      </c>
      <c r="N12" s="1">
        <f t="shared" si="5"/>
        <v>960.384</v>
      </c>
      <c r="O12" s="1">
        <f t="shared" si="5"/>
        <v>1116.4608</v>
      </c>
      <c r="P12" s="1">
        <f t="shared" si="5"/>
        <v>1209.4991999999997</v>
      </c>
      <c r="Q12" s="1">
        <f t="shared" si="5"/>
        <v>1772.5376</v>
      </c>
      <c r="R12" s="1">
        <f t="shared" si="5"/>
        <v>1302.5376</v>
      </c>
      <c r="S12" s="1">
        <f aca="true" t="shared" si="6" ref="S12:Z12">SUM(S4:S11)</f>
        <v>1488.6144</v>
      </c>
      <c r="T12" s="1">
        <f t="shared" si="6"/>
        <v>1488.6144</v>
      </c>
      <c r="U12" s="1">
        <f t="shared" si="6"/>
        <v>1674.6912</v>
      </c>
      <c r="V12" s="1">
        <f t="shared" si="6"/>
        <v>1674.6912</v>
      </c>
      <c r="W12" s="1">
        <f t="shared" si="6"/>
        <v>1860.768</v>
      </c>
      <c r="X12" s="1">
        <f t="shared" si="6"/>
        <v>1860.768</v>
      </c>
      <c r="Y12" s="1">
        <f t="shared" si="6"/>
        <v>2046.8447999999999</v>
      </c>
      <c r="Z12" s="1">
        <f t="shared" si="6"/>
        <v>2046.8447999999999</v>
      </c>
      <c r="AA12" s="3">
        <f t="shared" si="0"/>
        <v>28664.792</v>
      </c>
      <c r="AC12" s="5"/>
      <c r="AD12" s="38" t="s">
        <v>8</v>
      </c>
    </row>
    <row r="13" spans="2:30" ht="12" customHeight="1" thickBot="1">
      <c r="B13" s="2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C13" s="5"/>
      <c r="AD13" s="38"/>
    </row>
    <row r="14" spans="2:30" s="5" customFormat="1" ht="12.75" customHeight="1" thickBot="1">
      <c r="B14" s="7" t="s">
        <v>42</v>
      </c>
      <c r="C14" s="29"/>
      <c r="D14" s="29"/>
      <c r="E14" s="29"/>
      <c r="F14" s="30">
        <v>100</v>
      </c>
      <c r="G14" s="30"/>
      <c r="H14" s="30">
        <v>100</v>
      </c>
      <c r="I14" s="30"/>
      <c r="J14" s="30">
        <v>100</v>
      </c>
      <c r="K14" s="30">
        <v>100</v>
      </c>
      <c r="L14" s="30">
        <v>100</v>
      </c>
      <c r="M14" s="30">
        <v>120</v>
      </c>
      <c r="N14" s="30">
        <v>130</v>
      </c>
      <c r="O14" s="30">
        <v>140</v>
      </c>
      <c r="P14" s="30">
        <v>140</v>
      </c>
      <c r="Q14" s="30">
        <v>160</v>
      </c>
      <c r="R14" s="30">
        <v>160</v>
      </c>
      <c r="S14" s="30">
        <v>180</v>
      </c>
      <c r="T14" s="30">
        <v>180</v>
      </c>
      <c r="U14" s="30">
        <v>200</v>
      </c>
      <c r="V14" s="30">
        <v>200</v>
      </c>
      <c r="W14" s="30">
        <v>220</v>
      </c>
      <c r="X14" s="30">
        <v>220</v>
      </c>
      <c r="Y14" s="30">
        <v>220</v>
      </c>
      <c r="Z14" s="30">
        <v>220</v>
      </c>
      <c r="AA14" s="31">
        <f>SUM(F14:Z14)</f>
        <v>2990</v>
      </c>
      <c r="AB14" s="6"/>
      <c r="AD14" s="36" t="s">
        <v>42</v>
      </c>
    </row>
    <row r="15" spans="1:30" ht="13.5" customHeight="1">
      <c r="A15" s="9" t="s">
        <v>9</v>
      </c>
      <c r="C15" s="13"/>
      <c r="D15" s="13"/>
      <c r="E15" s="13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3"/>
      <c r="AC15" s="5" t="s">
        <v>9</v>
      </c>
      <c r="AD15" s="38"/>
    </row>
    <row r="16" spans="2:30" ht="13.5" customHeight="1">
      <c r="B16" s="9" t="s">
        <v>10</v>
      </c>
      <c r="C16" s="13"/>
      <c r="D16" s="13">
        <v>50</v>
      </c>
      <c r="E16" s="13"/>
      <c r="F16" s="13">
        <v>50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7">
        <f>SUM(C16:Z16)</f>
        <v>100</v>
      </c>
      <c r="AC16" s="5"/>
      <c r="AD16" s="38" t="s">
        <v>10</v>
      </c>
    </row>
    <row r="17" spans="2:30" ht="13.5" customHeight="1">
      <c r="B17" s="9" t="s">
        <v>11</v>
      </c>
      <c r="C17" s="13">
        <v>300</v>
      </c>
      <c r="D17" s="13"/>
      <c r="E17" s="13">
        <v>1500</v>
      </c>
      <c r="F17" s="13">
        <v>900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>
        <v>400</v>
      </c>
      <c r="R17" s="13"/>
      <c r="S17" s="13"/>
      <c r="T17" s="13"/>
      <c r="U17" s="13"/>
      <c r="V17" s="13"/>
      <c r="W17" s="13"/>
      <c r="X17" s="13"/>
      <c r="Y17" s="13"/>
      <c r="Z17" s="13"/>
      <c r="AA17" s="17">
        <f>SUM(C17:Z17)</f>
        <v>3100</v>
      </c>
      <c r="AC17" s="5"/>
      <c r="AD17" s="38" t="s">
        <v>11</v>
      </c>
    </row>
    <row r="18" spans="2:30" ht="13.5" customHeight="1">
      <c r="B18" s="9" t="s">
        <v>12</v>
      </c>
      <c r="C18" s="13"/>
      <c r="D18" s="13"/>
      <c r="E18" s="13"/>
      <c r="F18" s="13">
        <v>100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7">
        <f>SUM(C18:Z18)</f>
        <v>100</v>
      </c>
      <c r="AC18" s="5"/>
      <c r="AD18" s="38" t="s">
        <v>12</v>
      </c>
    </row>
    <row r="19" spans="2:30" ht="13.5" customHeight="1">
      <c r="B19" s="9" t="s">
        <v>49</v>
      </c>
      <c r="C19" s="13"/>
      <c r="D19" s="13"/>
      <c r="E19" s="13"/>
      <c r="F19" s="13">
        <v>50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6"/>
      <c r="Z19" s="13"/>
      <c r="AA19" s="17">
        <f>SUM(C19:Z19)</f>
        <v>50</v>
      </c>
      <c r="AC19" s="5"/>
      <c r="AD19" s="38" t="s">
        <v>49</v>
      </c>
    </row>
    <row r="20" spans="2:30" ht="13.5" customHeight="1">
      <c r="B20" s="9" t="s">
        <v>51</v>
      </c>
      <c r="C20" s="13"/>
      <c r="D20" s="13"/>
      <c r="E20" s="13"/>
      <c r="F20" s="13"/>
      <c r="G20" s="13">
        <v>100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6"/>
      <c r="Z20" s="13"/>
      <c r="AA20" s="17">
        <f>SUM(C20:Z20)</f>
        <v>100</v>
      </c>
      <c r="AC20" s="5"/>
      <c r="AD20" s="38" t="s">
        <v>13</v>
      </c>
    </row>
    <row r="21" spans="2:30" ht="12.75" customHeight="1">
      <c r="B21" s="24" t="s">
        <v>2</v>
      </c>
      <c r="C21" s="22">
        <f aca="true" t="shared" si="7" ref="C21:H21">SUM(C16:C20)</f>
        <v>300</v>
      </c>
      <c r="D21" s="22">
        <f t="shared" si="7"/>
        <v>50</v>
      </c>
      <c r="E21" s="22">
        <f t="shared" si="7"/>
        <v>1500</v>
      </c>
      <c r="F21" s="22">
        <f t="shared" si="7"/>
        <v>1100</v>
      </c>
      <c r="G21" s="22">
        <f t="shared" si="7"/>
        <v>100</v>
      </c>
      <c r="H21" s="22">
        <f t="shared" si="7"/>
        <v>0</v>
      </c>
      <c r="I21" s="22"/>
      <c r="J21" s="22"/>
      <c r="K21" s="22"/>
      <c r="L21" s="22"/>
      <c r="M21" s="22"/>
      <c r="N21" s="22"/>
      <c r="O21" s="22"/>
      <c r="P21" s="22"/>
      <c r="Q21" s="22">
        <f>SUM(Q16:Q20)</f>
        <v>400</v>
      </c>
      <c r="R21" s="22"/>
      <c r="S21" s="22"/>
      <c r="T21" s="22"/>
      <c r="U21" s="22"/>
      <c r="V21" s="22"/>
      <c r="W21" s="22"/>
      <c r="X21" s="22"/>
      <c r="Y21" s="22"/>
      <c r="Z21" s="22"/>
      <c r="AA21" s="4">
        <f>SUM(AA16:AA20)</f>
        <v>3450</v>
      </c>
      <c r="AC21" s="5"/>
      <c r="AD21" s="38" t="s">
        <v>2</v>
      </c>
    </row>
    <row r="22" spans="1:30" ht="13.5" customHeight="1">
      <c r="A22" s="9" t="s">
        <v>14</v>
      </c>
      <c r="C22" s="13"/>
      <c r="D22" s="13"/>
      <c r="E22" s="13"/>
      <c r="AA22" s="4"/>
      <c r="AB22" s="9">
        <v>440</v>
      </c>
      <c r="AC22" s="5" t="s">
        <v>14</v>
      </c>
      <c r="AD22" s="38"/>
    </row>
    <row r="23" spans="2:30" ht="13.5" customHeight="1">
      <c r="B23" s="9" t="s">
        <v>15</v>
      </c>
      <c r="C23" s="13"/>
      <c r="D23" s="13"/>
      <c r="E23" s="13"/>
      <c r="F23" s="16">
        <f>F14*350*8.5/1000</f>
        <v>297.5</v>
      </c>
      <c r="G23" s="16"/>
      <c r="H23" s="16">
        <f>H14*350*8.5/1000</f>
        <v>297.5</v>
      </c>
      <c r="I23" s="16"/>
      <c r="J23" s="16">
        <f aca="true" t="shared" si="8" ref="J23:T23">J14*350*8.5/1000</f>
        <v>297.5</v>
      </c>
      <c r="K23" s="16">
        <f t="shared" si="8"/>
        <v>297.5</v>
      </c>
      <c r="L23" s="16">
        <f t="shared" si="8"/>
        <v>297.5</v>
      </c>
      <c r="M23" s="16">
        <f t="shared" si="8"/>
        <v>357</v>
      </c>
      <c r="N23" s="16">
        <f t="shared" si="8"/>
        <v>386.75</v>
      </c>
      <c r="O23" s="16">
        <f t="shared" si="8"/>
        <v>416.5</v>
      </c>
      <c r="P23" s="16">
        <f t="shared" si="8"/>
        <v>416.5</v>
      </c>
      <c r="Q23" s="16">
        <f t="shared" si="8"/>
        <v>476</v>
      </c>
      <c r="R23" s="16">
        <f t="shared" si="8"/>
        <v>476</v>
      </c>
      <c r="S23" s="16">
        <f t="shared" si="8"/>
        <v>535.5</v>
      </c>
      <c r="T23" s="16">
        <f t="shared" si="8"/>
        <v>535.5</v>
      </c>
      <c r="U23" s="16">
        <f>U14*350*8/1000</f>
        <v>560</v>
      </c>
      <c r="V23" s="16">
        <f>V14*350*8.5/1000</f>
        <v>595</v>
      </c>
      <c r="W23" s="16">
        <f>W14*350*8.5/1000</f>
        <v>654.5</v>
      </c>
      <c r="X23" s="16">
        <f>X14*350*8.5/1000</f>
        <v>654.5</v>
      </c>
      <c r="Y23" s="16">
        <f>Y14*350*8.5/1000</f>
        <v>654.5</v>
      </c>
      <c r="Z23" s="16">
        <f>Z14*350*8.5/1000</f>
        <v>654.5</v>
      </c>
      <c r="AA23" s="17">
        <f>SUM(C23:Z23)</f>
        <v>8860.25</v>
      </c>
      <c r="AB23" s="9" t="s">
        <v>44</v>
      </c>
      <c r="AC23" s="5"/>
      <c r="AD23" s="38" t="s">
        <v>15</v>
      </c>
    </row>
    <row r="24" spans="2:30" ht="13.5" customHeight="1">
      <c r="B24" s="9" t="s">
        <v>16</v>
      </c>
      <c r="C24" s="13"/>
      <c r="D24" s="13"/>
      <c r="E24" s="13"/>
      <c r="F24" s="16">
        <f>F14*2.085/2</f>
        <v>104.25</v>
      </c>
      <c r="G24" s="16">
        <f>F14*2.085/2</f>
        <v>104.25</v>
      </c>
      <c r="H24" s="16">
        <f>H14*2.085/2</f>
        <v>104.25</v>
      </c>
      <c r="I24" s="16">
        <f>H14*2.085/2</f>
        <v>104.25</v>
      </c>
      <c r="J24" s="16">
        <f>J14*2.085</f>
        <v>208.5</v>
      </c>
      <c r="K24" s="16">
        <f aca="true" t="shared" si="9" ref="K24:Z24">K14*2.085</f>
        <v>208.5</v>
      </c>
      <c r="L24" s="16">
        <f t="shared" si="9"/>
        <v>208.5</v>
      </c>
      <c r="M24" s="16">
        <f t="shared" si="9"/>
        <v>250.2</v>
      </c>
      <c r="N24" s="16">
        <f t="shared" si="9"/>
        <v>271.05</v>
      </c>
      <c r="O24" s="16">
        <f t="shared" si="9"/>
        <v>291.9</v>
      </c>
      <c r="P24" s="16">
        <f t="shared" si="9"/>
        <v>291.9</v>
      </c>
      <c r="Q24" s="16">
        <f t="shared" si="9"/>
        <v>333.6</v>
      </c>
      <c r="R24" s="16">
        <f t="shared" si="9"/>
        <v>333.6</v>
      </c>
      <c r="S24" s="16">
        <f t="shared" si="9"/>
        <v>375.3</v>
      </c>
      <c r="T24" s="16">
        <f t="shared" si="9"/>
        <v>375.3</v>
      </c>
      <c r="U24" s="16">
        <f t="shared" si="9"/>
        <v>417</v>
      </c>
      <c r="V24" s="16">
        <f t="shared" si="9"/>
        <v>417</v>
      </c>
      <c r="W24" s="16">
        <f t="shared" si="9"/>
        <v>458.7</v>
      </c>
      <c r="X24" s="16">
        <f t="shared" si="9"/>
        <v>458.7</v>
      </c>
      <c r="Y24" s="16">
        <f t="shared" si="9"/>
        <v>458.7</v>
      </c>
      <c r="Z24" s="16">
        <f t="shared" si="9"/>
        <v>458.7</v>
      </c>
      <c r="AA24" s="17">
        <f>SUM(C24:Z24)</f>
        <v>6234.15</v>
      </c>
      <c r="AB24" s="17">
        <f>AB22*3.103</f>
        <v>1365.3200000000002</v>
      </c>
      <c r="AC24" s="5"/>
      <c r="AD24" s="38" t="s">
        <v>16</v>
      </c>
    </row>
    <row r="25" spans="2:30" ht="13.5" customHeight="1">
      <c r="B25" s="9" t="s">
        <v>17</v>
      </c>
      <c r="C25" s="13"/>
      <c r="D25" s="13"/>
      <c r="E25" s="13"/>
      <c r="F25" s="16">
        <f>F14*0.23/2</f>
        <v>11.5</v>
      </c>
      <c r="G25" s="16">
        <f>F14*0.23/2</f>
        <v>11.5</v>
      </c>
      <c r="H25" s="16">
        <f>H14*0.23/2</f>
        <v>11.5</v>
      </c>
      <c r="I25" s="16">
        <f>H14*0.23/2</f>
        <v>11.5</v>
      </c>
      <c r="J25" s="16">
        <f aca="true" t="shared" si="10" ref="J25:Y25">J14*0.23</f>
        <v>23</v>
      </c>
      <c r="K25" s="16">
        <f t="shared" si="10"/>
        <v>23</v>
      </c>
      <c r="L25" s="16">
        <f t="shared" si="10"/>
        <v>23</v>
      </c>
      <c r="M25" s="16">
        <f t="shared" si="10"/>
        <v>27.6</v>
      </c>
      <c r="N25" s="16">
        <f t="shared" si="10"/>
        <v>29.900000000000002</v>
      </c>
      <c r="O25" s="16">
        <f t="shared" si="10"/>
        <v>32.2</v>
      </c>
      <c r="P25" s="16">
        <f t="shared" si="10"/>
        <v>32.2</v>
      </c>
      <c r="Q25" s="16">
        <f t="shared" si="10"/>
        <v>36.800000000000004</v>
      </c>
      <c r="R25" s="16">
        <f t="shared" si="10"/>
        <v>36.800000000000004</v>
      </c>
      <c r="S25" s="16">
        <f t="shared" si="10"/>
        <v>41.4</v>
      </c>
      <c r="T25" s="16">
        <f t="shared" si="10"/>
        <v>41.4</v>
      </c>
      <c r="U25" s="16">
        <f t="shared" si="10"/>
        <v>46</v>
      </c>
      <c r="V25" s="16">
        <f t="shared" si="10"/>
        <v>46</v>
      </c>
      <c r="W25" s="16">
        <f t="shared" si="10"/>
        <v>50.6</v>
      </c>
      <c r="X25" s="16">
        <f t="shared" si="10"/>
        <v>50.6</v>
      </c>
      <c r="Y25" s="16">
        <f t="shared" si="10"/>
        <v>50.6</v>
      </c>
      <c r="Z25" s="16">
        <f>Z14*0.23</f>
        <v>50.6</v>
      </c>
      <c r="AA25" s="17">
        <f>SUM(C25:Z25)</f>
        <v>687.7</v>
      </c>
      <c r="AB25" s="9" t="s">
        <v>45</v>
      </c>
      <c r="AC25" s="5"/>
      <c r="AD25" s="38" t="s">
        <v>17</v>
      </c>
    </row>
    <row r="26" spans="2:30" ht="13.5" customHeight="1">
      <c r="B26" s="9" t="s">
        <v>18</v>
      </c>
      <c r="C26" s="13"/>
      <c r="D26" s="13"/>
      <c r="E26" s="13"/>
      <c r="F26" s="16">
        <f>F14*0.26</f>
        <v>26</v>
      </c>
      <c r="G26" s="16"/>
      <c r="H26" s="16">
        <f>H14*0.26</f>
        <v>26</v>
      </c>
      <c r="I26" s="16"/>
      <c r="J26" s="16">
        <f aca="true" t="shared" si="11" ref="J26:Y26">J14*0.26</f>
        <v>26</v>
      </c>
      <c r="K26" s="16">
        <f t="shared" si="11"/>
        <v>26</v>
      </c>
      <c r="L26" s="16">
        <f t="shared" si="11"/>
        <v>26</v>
      </c>
      <c r="M26" s="16">
        <f t="shared" si="11"/>
        <v>31.200000000000003</v>
      </c>
      <c r="N26" s="16">
        <f t="shared" si="11"/>
        <v>33.800000000000004</v>
      </c>
      <c r="O26" s="16">
        <f t="shared" si="11"/>
        <v>36.4</v>
      </c>
      <c r="P26" s="16">
        <f t="shared" si="11"/>
        <v>36.4</v>
      </c>
      <c r="Q26" s="16">
        <f t="shared" si="11"/>
        <v>41.6</v>
      </c>
      <c r="R26" s="16">
        <f t="shared" si="11"/>
        <v>41.6</v>
      </c>
      <c r="S26" s="16">
        <f t="shared" si="11"/>
        <v>46.800000000000004</v>
      </c>
      <c r="T26" s="16">
        <f t="shared" si="11"/>
        <v>46.800000000000004</v>
      </c>
      <c r="U26" s="16">
        <f t="shared" si="11"/>
        <v>52</v>
      </c>
      <c r="V26" s="16">
        <f t="shared" si="11"/>
        <v>52</v>
      </c>
      <c r="W26" s="16">
        <f t="shared" si="11"/>
        <v>57.2</v>
      </c>
      <c r="X26" s="16">
        <f t="shared" si="11"/>
        <v>57.2</v>
      </c>
      <c r="Y26" s="16">
        <f t="shared" si="11"/>
        <v>57.2</v>
      </c>
      <c r="Z26" s="16">
        <f>Z14*0.26</f>
        <v>57.2</v>
      </c>
      <c r="AA26" s="17">
        <f>SUM(C26:Z26)</f>
        <v>777.4000000000003</v>
      </c>
      <c r="AC26" s="5"/>
      <c r="AD26" s="38" t="s">
        <v>18</v>
      </c>
    </row>
    <row r="27" spans="2:30" ht="12.75" customHeight="1">
      <c r="B27" s="24" t="s">
        <v>2</v>
      </c>
      <c r="C27" s="22"/>
      <c r="D27" s="22"/>
      <c r="E27" s="22"/>
      <c r="F27" s="25">
        <f aca="true" t="shared" si="12" ref="F27:R27">SUM(F23:F26)</f>
        <v>439.25</v>
      </c>
      <c r="G27" s="25">
        <f t="shared" si="12"/>
        <v>115.75</v>
      </c>
      <c r="H27" s="25">
        <f t="shared" si="12"/>
        <v>439.25</v>
      </c>
      <c r="I27" s="25">
        <f t="shared" si="12"/>
        <v>115.75</v>
      </c>
      <c r="J27" s="25">
        <f t="shared" si="12"/>
        <v>555</v>
      </c>
      <c r="K27" s="25">
        <f t="shared" si="12"/>
        <v>555</v>
      </c>
      <c r="L27" s="25">
        <f t="shared" si="12"/>
        <v>555</v>
      </c>
      <c r="M27" s="25">
        <f t="shared" si="12"/>
        <v>666.0000000000001</v>
      </c>
      <c r="N27" s="25">
        <f t="shared" si="12"/>
        <v>721.4999999999999</v>
      </c>
      <c r="O27" s="25">
        <f t="shared" si="12"/>
        <v>777</v>
      </c>
      <c r="P27" s="25">
        <f t="shared" si="12"/>
        <v>777</v>
      </c>
      <c r="Q27" s="25">
        <f t="shared" si="12"/>
        <v>888</v>
      </c>
      <c r="R27" s="25">
        <f t="shared" si="12"/>
        <v>888</v>
      </c>
      <c r="S27" s="25">
        <f aca="true" t="shared" si="13" ref="S27:Z27">SUM(S23:S26)</f>
        <v>998.9999999999999</v>
      </c>
      <c r="T27" s="25">
        <f t="shared" si="13"/>
        <v>998.9999999999999</v>
      </c>
      <c r="U27" s="25">
        <f t="shared" si="13"/>
        <v>1075</v>
      </c>
      <c r="V27" s="25">
        <f t="shared" si="13"/>
        <v>1110</v>
      </c>
      <c r="W27" s="25">
        <f t="shared" si="13"/>
        <v>1221</v>
      </c>
      <c r="X27" s="25">
        <f t="shared" si="13"/>
        <v>1221</v>
      </c>
      <c r="Y27" s="25">
        <f t="shared" si="13"/>
        <v>1221</v>
      </c>
      <c r="Z27" s="25">
        <f t="shared" si="13"/>
        <v>1221</v>
      </c>
      <c r="AA27" s="4">
        <f>SUM(C27:Z27)</f>
        <v>16559.5</v>
      </c>
      <c r="AC27" s="5"/>
      <c r="AD27" s="38" t="s">
        <v>2</v>
      </c>
    </row>
    <row r="28" spans="1:30" ht="13.5" customHeight="1">
      <c r="A28" s="9" t="s">
        <v>19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6"/>
      <c r="Z28" s="16"/>
      <c r="AA28" s="4"/>
      <c r="AC28" s="5" t="s">
        <v>19</v>
      </c>
      <c r="AD28" s="38"/>
    </row>
    <row r="29" spans="2:30" ht="13.5" customHeight="1">
      <c r="B29" s="26" t="s">
        <v>20</v>
      </c>
      <c r="C29" s="13"/>
      <c r="D29" s="13"/>
      <c r="E29" s="13">
        <v>20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7">
        <f>SUM(C29:Z29)</f>
        <v>20</v>
      </c>
      <c r="AC29" s="5"/>
      <c r="AD29" s="39" t="s">
        <v>20</v>
      </c>
    </row>
    <row r="30" spans="2:30" ht="13.5" customHeight="1">
      <c r="B30" s="26" t="s">
        <v>21</v>
      </c>
      <c r="C30" s="13">
        <v>2</v>
      </c>
      <c r="D30" s="13">
        <v>2</v>
      </c>
      <c r="E30" s="13">
        <v>2</v>
      </c>
      <c r="F30" s="13">
        <v>2</v>
      </c>
      <c r="G30" s="13">
        <v>2</v>
      </c>
      <c r="H30" s="13">
        <v>2</v>
      </c>
      <c r="I30" s="13">
        <v>2</v>
      </c>
      <c r="J30" s="13">
        <v>3</v>
      </c>
      <c r="K30" s="13">
        <v>3</v>
      </c>
      <c r="L30" s="13">
        <v>3</v>
      </c>
      <c r="M30" s="13">
        <v>3</v>
      </c>
      <c r="N30" s="13">
        <v>3</v>
      </c>
      <c r="O30" s="13">
        <v>3</v>
      </c>
      <c r="P30" s="13">
        <v>3</v>
      </c>
      <c r="Q30" s="13">
        <v>3</v>
      </c>
      <c r="R30" s="13">
        <v>3</v>
      </c>
      <c r="S30" s="13">
        <v>3</v>
      </c>
      <c r="T30" s="13">
        <v>3</v>
      </c>
      <c r="U30" s="13">
        <v>3</v>
      </c>
      <c r="V30" s="13"/>
      <c r="W30" s="13">
        <v>10</v>
      </c>
      <c r="X30" s="13"/>
      <c r="Y30" s="13"/>
      <c r="Z30" s="13">
        <v>10</v>
      </c>
      <c r="AA30" s="17">
        <f>SUM(C30:Z30)</f>
        <v>70</v>
      </c>
      <c r="AC30" s="5"/>
      <c r="AD30" s="39" t="s">
        <v>21</v>
      </c>
    </row>
    <row r="31" spans="2:30" ht="13.5" customHeight="1">
      <c r="B31" s="26" t="s">
        <v>22</v>
      </c>
      <c r="C31" s="13"/>
      <c r="D31" s="13"/>
      <c r="E31" s="13">
        <v>5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7">
        <f>SUM(C31:Z31)</f>
        <v>5</v>
      </c>
      <c r="AC31" s="5"/>
      <c r="AD31" s="39" t="s">
        <v>22</v>
      </c>
    </row>
    <row r="32" spans="2:30" ht="13.5" customHeight="1">
      <c r="B32" s="26" t="s">
        <v>23</v>
      </c>
      <c r="C32" s="13"/>
      <c r="D32" s="13"/>
      <c r="E32" s="13">
        <v>5</v>
      </c>
      <c r="F32" s="13"/>
      <c r="G32" s="13"/>
      <c r="H32" s="13">
        <v>5</v>
      </c>
      <c r="I32" s="13"/>
      <c r="J32" s="13"/>
      <c r="K32" s="13">
        <v>5</v>
      </c>
      <c r="L32" s="13"/>
      <c r="M32" s="13"/>
      <c r="N32" s="13">
        <v>5</v>
      </c>
      <c r="O32" s="13"/>
      <c r="P32" s="13"/>
      <c r="Q32" s="13">
        <v>5</v>
      </c>
      <c r="R32" s="13"/>
      <c r="S32" s="13"/>
      <c r="T32" s="13">
        <v>10</v>
      </c>
      <c r="U32" s="13"/>
      <c r="V32" s="13"/>
      <c r="W32" s="13">
        <v>10</v>
      </c>
      <c r="X32" s="13"/>
      <c r="Y32" s="13"/>
      <c r="Z32" s="13">
        <v>10</v>
      </c>
      <c r="AA32" s="17">
        <f>SUM(C32:Z32)</f>
        <v>55</v>
      </c>
      <c r="AC32" s="5"/>
      <c r="AD32" s="39" t="s">
        <v>23</v>
      </c>
    </row>
    <row r="33" spans="2:30" ht="12.75" customHeight="1">
      <c r="B33" s="27" t="s">
        <v>2</v>
      </c>
      <c r="C33" s="22">
        <f>SUM(C29:C32)</f>
        <v>2</v>
      </c>
      <c r="D33" s="22">
        <f>SUM(D29:D32)</f>
        <v>2</v>
      </c>
      <c r="E33" s="22">
        <f>SUM(E29:E32)</f>
        <v>32</v>
      </c>
      <c r="F33" s="22">
        <f aca="true" t="shared" si="14" ref="F33:U33">SUM(F29:F32)</f>
        <v>2</v>
      </c>
      <c r="G33" s="22">
        <f t="shared" si="14"/>
        <v>2</v>
      </c>
      <c r="H33" s="22">
        <f t="shared" si="14"/>
        <v>7</v>
      </c>
      <c r="I33" s="22">
        <f t="shared" si="14"/>
        <v>2</v>
      </c>
      <c r="J33" s="22">
        <f t="shared" si="14"/>
        <v>3</v>
      </c>
      <c r="K33" s="22">
        <f t="shared" si="14"/>
        <v>8</v>
      </c>
      <c r="L33" s="22">
        <f t="shared" si="14"/>
        <v>3</v>
      </c>
      <c r="M33" s="22">
        <f t="shared" si="14"/>
        <v>3</v>
      </c>
      <c r="N33" s="22">
        <f t="shared" si="14"/>
        <v>8</v>
      </c>
      <c r="O33" s="22">
        <f t="shared" si="14"/>
        <v>3</v>
      </c>
      <c r="P33" s="22">
        <f t="shared" si="14"/>
        <v>3</v>
      </c>
      <c r="Q33" s="22">
        <f t="shared" si="14"/>
        <v>8</v>
      </c>
      <c r="R33" s="22">
        <f t="shared" si="14"/>
        <v>3</v>
      </c>
      <c r="S33" s="22">
        <f t="shared" si="14"/>
        <v>3</v>
      </c>
      <c r="T33" s="22">
        <f t="shared" si="14"/>
        <v>13</v>
      </c>
      <c r="U33" s="22">
        <f t="shared" si="14"/>
        <v>3</v>
      </c>
      <c r="V33" s="22">
        <f>SUM(V29:V32)</f>
        <v>0</v>
      </c>
      <c r="W33" s="22">
        <f>SUM(W29:W32)</f>
        <v>20</v>
      </c>
      <c r="X33" s="22">
        <f>SUM(X29:X32)</f>
        <v>0</v>
      </c>
      <c r="Y33" s="22">
        <f>SUM(Y29:Y32)</f>
        <v>0</v>
      </c>
      <c r="Z33" s="22">
        <f>SUM(Z29:Z32)</f>
        <v>20</v>
      </c>
      <c r="AA33" s="3">
        <f>SUM(C33:Z33)</f>
        <v>150</v>
      </c>
      <c r="AC33" s="5"/>
      <c r="AD33" s="39" t="s">
        <v>2</v>
      </c>
    </row>
    <row r="34" spans="1:30" ht="13.5" customHeight="1">
      <c r="A34" s="9" t="s">
        <v>24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4"/>
      <c r="AC34" s="5" t="s">
        <v>24</v>
      </c>
      <c r="AD34" s="38"/>
    </row>
    <row r="35" spans="2:30" ht="13.5" customHeight="1">
      <c r="B35" s="9" t="s">
        <v>25</v>
      </c>
      <c r="C35" s="22"/>
      <c r="D35" s="22">
        <v>0</v>
      </c>
      <c r="E35" s="22">
        <v>0</v>
      </c>
      <c r="F35" s="22">
        <v>59</v>
      </c>
      <c r="G35" s="22">
        <v>59</v>
      </c>
      <c r="H35" s="22">
        <v>59</v>
      </c>
      <c r="I35" s="22">
        <v>59</v>
      </c>
      <c r="J35" s="22">
        <v>71</v>
      </c>
      <c r="K35" s="22">
        <v>71</v>
      </c>
      <c r="L35" s="22">
        <v>71</v>
      </c>
      <c r="M35" s="22">
        <v>71</v>
      </c>
      <c r="N35" s="22">
        <v>71</v>
      </c>
      <c r="O35" s="22">
        <v>95</v>
      </c>
      <c r="P35" s="22">
        <v>95</v>
      </c>
      <c r="Q35" s="22">
        <v>95</v>
      </c>
      <c r="R35" s="22">
        <v>95</v>
      </c>
      <c r="S35" s="22">
        <v>95</v>
      </c>
      <c r="T35" s="22">
        <v>95</v>
      </c>
      <c r="U35" s="22">
        <v>95</v>
      </c>
      <c r="V35" s="22">
        <v>95</v>
      </c>
      <c r="W35" s="22">
        <v>95</v>
      </c>
      <c r="X35" s="22">
        <v>95</v>
      </c>
      <c r="Y35" s="22">
        <v>95</v>
      </c>
      <c r="Z35" s="22">
        <v>95</v>
      </c>
      <c r="AA35" s="17">
        <f>SUM(C35:Z35)</f>
        <v>1731</v>
      </c>
      <c r="AC35" s="5"/>
      <c r="AD35" s="38" t="s">
        <v>25</v>
      </c>
    </row>
    <row r="36" spans="2:30" ht="13.5" customHeight="1">
      <c r="B36" s="9" t="s">
        <v>26</v>
      </c>
      <c r="C36" s="22"/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34</v>
      </c>
      <c r="S36" s="22">
        <v>47</v>
      </c>
      <c r="T36" s="22">
        <v>47</v>
      </c>
      <c r="U36" s="22">
        <v>34</v>
      </c>
      <c r="V36" s="22">
        <v>47</v>
      </c>
      <c r="W36" s="22">
        <v>47</v>
      </c>
      <c r="X36" s="22">
        <v>34</v>
      </c>
      <c r="Y36" s="22">
        <v>47</v>
      </c>
      <c r="Z36" s="22">
        <v>47</v>
      </c>
      <c r="AA36" s="17">
        <f>SUM(C36:Z36)</f>
        <v>384</v>
      </c>
      <c r="AC36" s="5"/>
      <c r="AD36" s="38" t="s">
        <v>26</v>
      </c>
    </row>
    <row r="37" spans="2:30" ht="12.75" customHeight="1">
      <c r="B37" s="27" t="s">
        <v>2</v>
      </c>
      <c r="C37" s="13">
        <f>SUM(C35:C36)</f>
        <v>0</v>
      </c>
      <c r="D37" s="13">
        <f aca="true" t="shared" si="15" ref="D37:Z37">SUM(D35:D36)</f>
        <v>0</v>
      </c>
      <c r="E37" s="13">
        <f t="shared" si="15"/>
        <v>0</v>
      </c>
      <c r="F37" s="13">
        <f t="shared" si="15"/>
        <v>59</v>
      </c>
      <c r="G37" s="13">
        <f t="shared" si="15"/>
        <v>59</v>
      </c>
      <c r="H37" s="13">
        <f t="shared" si="15"/>
        <v>59</v>
      </c>
      <c r="I37" s="13">
        <f t="shared" si="15"/>
        <v>59</v>
      </c>
      <c r="J37" s="13">
        <f t="shared" si="15"/>
        <v>71</v>
      </c>
      <c r="K37" s="13">
        <f t="shared" si="15"/>
        <v>71</v>
      </c>
      <c r="L37" s="13">
        <f t="shared" si="15"/>
        <v>71</v>
      </c>
      <c r="M37" s="13">
        <f t="shared" si="15"/>
        <v>71</v>
      </c>
      <c r="N37" s="13">
        <f t="shared" si="15"/>
        <v>71</v>
      </c>
      <c r="O37" s="13">
        <f t="shared" si="15"/>
        <v>95</v>
      </c>
      <c r="P37" s="13">
        <f t="shared" si="15"/>
        <v>95</v>
      </c>
      <c r="Q37" s="13">
        <f t="shared" si="15"/>
        <v>95</v>
      </c>
      <c r="R37" s="13">
        <f t="shared" si="15"/>
        <v>129</v>
      </c>
      <c r="S37" s="13">
        <f t="shared" si="15"/>
        <v>142</v>
      </c>
      <c r="T37" s="13">
        <f t="shared" si="15"/>
        <v>142</v>
      </c>
      <c r="U37" s="13">
        <f t="shared" si="15"/>
        <v>129</v>
      </c>
      <c r="V37" s="13">
        <f t="shared" si="15"/>
        <v>142</v>
      </c>
      <c r="W37" s="13">
        <f t="shared" si="15"/>
        <v>142</v>
      </c>
      <c r="X37" s="13">
        <f t="shared" si="15"/>
        <v>129</v>
      </c>
      <c r="Y37" s="13">
        <f t="shared" si="15"/>
        <v>142</v>
      </c>
      <c r="Z37" s="13">
        <f t="shared" si="15"/>
        <v>142</v>
      </c>
      <c r="AA37" s="4">
        <f>SUM(C37:Z37)</f>
        <v>2115</v>
      </c>
      <c r="AC37" s="5"/>
      <c r="AD37" s="39" t="s">
        <v>2</v>
      </c>
    </row>
    <row r="38" spans="1:30" ht="13.5" customHeight="1">
      <c r="A38" s="9" t="s">
        <v>27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4"/>
      <c r="AC38" s="5" t="s">
        <v>27</v>
      </c>
      <c r="AD38" s="38"/>
    </row>
    <row r="39" spans="2:30" ht="13.5" customHeight="1">
      <c r="B39" s="9" t="s">
        <v>28</v>
      </c>
      <c r="C39" s="13">
        <v>0</v>
      </c>
      <c r="D39" s="13">
        <v>0</v>
      </c>
      <c r="E39" s="13">
        <v>0</v>
      </c>
      <c r="F39" s="13">
        <v>9</v>
      </c>
      <c r="G39" s="13">
        <v>9</v>
      </c>
      <c r="H39" s="13">
        <v>9</v>
      </c>
      <c r="I39" s="13">
        <v>9</v>
      </c>
      <c r="J39" s="13">
        <v>9</v>
      </c>
      <c r="K39" s="13">
        <v>9</v>
      </c>
      <c r="L39" s="13">
        <v>9</v>
      </c>
      <c r="M39" s="13">
        <v>9</v>
      </c>
      <c r="N39" s="13">
        <v>9</v>
      </c>
      <c r="O39" s="13">
        <v>9</v>
      </c>
      <c r="P39" s="13">
        <v>9</v>
      </c>
      <c r="Q39" s="13">
        <v>9</v>
      </c>
      <c r="R39" s="13">
        <v>10</v>
      </c>
      <c r="S39" s="13">
        <v>10</v>
      </c>
      <c r="T39" s="13">
        <v>10</v>
      </c>
      <c r="U39" s="13">
        <v>10</v>
      </c>
      <c r="V39" s="13">
        <v>10</v>
      </c>
      <c r="W39" s="13">
        <v>10</v>
      </c>
      <c r="X39" s="13">
        <v>10</v>
      </c>
      <c r="Y39" s="13">
        <v>10</v>
      </c>
      <c r="Z39" s="13">
        <v>10</v>
      </c>
      <c r="AA39" s="17">
        <f aca="true" t="shared" si="16" ref="AA39:AA44">SUM(C39:Z39)</f>
        <v>198</v>
      </c>
      <c r="AC39" s="5"/>
      <c r="AD39" s="38" t="s">
        <v>28</v>
      </c>
    </row>
    <row r="40" spans="2:30" ht="13.5" customHeight="1">
      <c r="B40" s="9" t="s">
        <v>29</v>
      </c>
      <c r="C40" s="13"/>
      <c r="D40" s="13"/>
      <c r="E40" s="13">
        <v>6</v>
      </c>
      <c r="F40" s="13"/>
      <c r="G40" s="13"/>
      <c r="H40" s="13">
        <v>10</v>
      </c>
      <c r="I40" s="13"/>
      <c r="J40" s="13"/>
      <c r="K40" s="13">
        <v>10</v>
      </c>
      <c r="L40" s="13"/>
      <c r="M40" s="13"/>
      <c r="N40" s="13">
        <v>15</v>
      </c>
      <c r="O40" s="13"/>
      <c r="P40" s="13"/>
      <c r="Q40" s="13">
        <v>15</v>
      </c>
      <c r="R40" s="13"/>
      <c r="S40" s="13"/>
      <c r="T40" s="13">
        <v>15</v>
      </c>
      <c r="U40" s="13"/>
      <c r="V40" s="13"/>
      <c r="W40" s="13">
        <v>15</v>
      </c>
      <c r="X40" s="13"/>
      <c r="Y40" s="13"/>
      <c r="Z40" s="13">
        <v>15</v>
      </c>
      <c r="AA40" s="17">
        <f t="shared" si="16"/>
        <v>101</v>
      </c>
      <c r="AC40" s="5"/>
      <c r="AD40" s="38" t="s">
        <v>29</v>
      </c>
    </row>
    <row r="41" spans="2:30" ht="13.5" customHeight="1">
      <c r="B41" s="9" t="s">
        <v>30</v>
      </c>
      <c r="C41" s="13"/>
      <c r="D41" s="13"/>
      <c r="E41" s="13">
        <v>2</v>
      </c>
      <c r="F41" s="13"/>
      <c r="G41" s="13"/>
      <c r="H41" s="13">
        <v>2</v>
      </c>
      <c r="I41" s="13"/>
      <c r="J41" s="13"/>
      <c r="K41" s="13">
        <v>3</v>
      </c>
      <c r="L41" s="13"/>
      <c r="M41" s="13"/>
      <c r="N41" s="13">
        <v>3</v>
      </c>
      <c r="O41" s="13"/>
      <c r="P41" s="13"/>
      <c r="Q41" s="13">
        <v>3</v>
      </c>
      <c r="R41" s="13"/>
      <c r="S41" s="13"/>
      <c r="T41" s="13">
        <v>3</v>
      </c>
      <c r="U41" s="13"/>
      <c r="V41" s="13"/>
      <c r="W41" s="13">
        <v>3</v>
      </c>
      <c r="X41" s="13"/>
      <c r="Y41" s="13"/>
      <c r="Z41" s="13">
        <v>2</v>
      </c>
      <c r="AA41" s="17">
        <f t="shared" si="16"/>
        <v>21</v>
      </c>
      <c r="AC41" s="5"/>
      <c r="AD41" s="38" t="s">
        <v>30</v>
      </c>
    </row>
    <row r="42" spans="2:30" ht="13.5" customHeight="1">
      <c r="B42" s="9" t="s">
        <v>31</v>
      </c>
      <c r="C42" s="13"/>
      <c r="D42" s="13"/>
      <c r="E42" s="13">
        <v>2</v>
      </c>
      <c r="F42" s="13"/>
      <c r="G42" s="13">
        <v>2</v>
      </c>
      <c r="H42" s="13"/>
      <c r="I42" s="13">
        <v>2</v>
      </c>
      <c r="J42" s="13"/>
      <c r="K42" s="13">
        <v>3</v>
      </c>
      <c r="L42" s="13"/>
      <c r="M42" s="13">
        <v>3</v>
      </c>
      <c r="N42" s="13"/>
      <c r="O42" s="13">
        <v>3</v>
      </c>
      <c r="P42" s="13"/>
      <c r="Q42" s="13">
        <v>3</v>
      </c>
      <c r="R42" s="13"/>
      <c r="S42" s="13">
        <v>3</v>
      </c>
      <c r="T42" s="13"/>
      <c r="U42" s="13">
        <v>3</v>
      </c>
      <c r="V42" s="13"/>
      <c r="W42" s="13">
        <v>3</v>
      </c>
      <c r="X42" s="13"/>
      <c r="Y42" s="13">
        <v>3</v>
      </c>
      <c r="Z42" s="13"/>
      <c r="AA42" s="17">
        <f t="shared" si="16"/>
        <v>30</v>
      </c>
      <c r="AC42" s="5"/>
      <c r="AD42" s="38" t="s">
        <v>31</v>
      </c>
    </row>
    <row r="43" spans="2:30" ht="13.5" customHeight="1">
      <c r="B43" s="9" t="s">
        <v>32</v>
      </c>
      <c r="C43" s="13"/>
      <c r="D43" s="13"/>
      <c r="E43" s="13"/>
      <c r="F43" s="13"/>
      <c r="G43" s="13"/>
      <c r="H43" s="13">
        <v>2</v>
      </c>
      <c r="I43" s="13"/>
      <c r="J43" s="13"/>
      <c r="K43" s="13"/>
      <c r="L43" s="13"/>
      <c r="M43" s="13"/>
      <c r="N43" s="13">
        <v>2</v>
      </c>
      <c r="O43" s="13"/>
      <c r="P43" s="13"/>
      <c r="Q43" s="13"/>
      <c r="R43" s="13"/>
      <c r="S43" s="13"/>
      <c r="T43" s="13">
        <v>2</v>
      </c>
      <c r="U43" s="13"/>
      <c r="V43" s="13"/>
      <c r="W43" s="13"/>
      <c r="X43" s="13"/>
      <c r="Y43" s="13"/>
      <c r="Z43" s="13">
        <v>2</v>
      </c>
      <c r="AA43" s="17">
        <f t="shared" si="16"/>
        <v>8</v>
      </c>
      <c r="AC43" s="5"/>
      <c r="AD43" s="38" t="s">
        <v>32</v>
      </c>
    </row>
    <row r="44" spans="2:30" ht="12.75" customHeight="1">
      <c r="B44" s="24" t="s">
        <v>2</v>
      </c>
      <c r="C44" s="22">
        <f>SUM(C39:C43)</f>
        <v>0</v>
      </c>
      <c r="D44" s="22">
        <f aca="true" t="shared" si="17" ref="D44:S44">SUM(D39:D43)</f>
        <v>0</v>
      </c>
      <c r="E44" s="22">
        <f t="shared" si="17"/>
        <v>10</v>
      </c>
      <c r="F44" s="22">
        <f t="shared" si="17"/>
        <v>9</v>
      </c>
      <c r="G44" s="22">
        <f t="shared" si="17"/>
        <v>11</v>
      </c>
      <c r="H44" s="22">
        <f t="shared" si="17"/>
        <v>23</v>
      </c>
      <c r="I44" s="22">
        <f t="shared" si="17"/>
        <v>11</v>
      </c>
      <c r="J44" s="22">
        <f t="shared" si="17"/>
        <v>9</v>
      </c>
      <c r="K44" s="22">
        <f t="shared" si="17"/>
        <v>25</v>
      </c>
      <c r="L44" s="22">
        <f t="shared" si="17"/>
        <v>9</v>
      </c>
      <c r="M44" s="22">
        <f t="shared" si="17"/>
        <v>12</v>
      </c>
      <c r="N44" s="22">
        <f t="shared" si="17"/>
        <v>29</v>
      </c>
      <c r="O44" s="22">
        <f t="shared" si="17"/>
        <v>12</v>
      </c>
      <c r="P44" s="22">
        <f t="shared" si="17"/>
        <v>9</v>
      </c>
      <c r="Q44" s="22">
        <f t="shared" si="17"/>
        <v>30</v>
      </c>
      <c r="R44" s="22">
        <f t="shared" si="17"/>
        <v>10</v>
      </c>
      <c r="S44" s="22">
        <f t="shared" si="17"/>
        <v>13</v>
      </c>
      <c r="T44" s="22">
        <f aca="true" t="shared" si="18" ref="T44:Z44">SUM(T39:T43)</f>
        <v>30</v>
      </c>
      <c r="U44" s="22">
        <f t="shared" si="18"/>
        <v>13</v>
      </c>
      <c r="V44" s="22">
        <f t="shared" si="18"/>
        <v>10</v>
      </c>
      <c r="W44" s="22">
        <f t="shared" si="18"/>
        <v>31</v>
      </c>
      <c r="X44" s="22">
        <f t="shared" si="18"/>
        <v>10</v>
      </c>
      <c r="Y44" s="22">
        <f t="shared" si="18"/>
        <v>13</v>
      </c>
      <c r="Z44" s="22">
        <f t="shared" si="18"/>
        <v>29</v>
      </c>
      <c r="AA44" s="4">
        <f t="shared" si="16"/>
        <v>358</v>
      </c>
      <c r="AC44" s="5"/>
      <c r="AD44" s="38" t="s">
        <v>2</v>
      </c>
    </row>
    <row r="45" spans="1:30" ht="13.5" customHeight="1">
      <c r="A45" s="9" t="s">
        <v>33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4"/>
      <c r="AC45" s="5" t="s">
        <v>33</v>
      </c>
      <c r="AD45" s="38"/>
    </row>
    <row r="46" spans="1:30" ht="13.5" customHeight="1">
      <c r="A46" s="41"/>
      <c r="B46" s="41" t="s">
        <v>34</v>
      </c>
      <c r="C46" s="42"/>
      <c r="D46" s="42"/>
      <c r="E46" s="42"/>
      <c r="F46" s="42"/>
      <c r="G46" s="42"/>
      <c r="H46" s="42"/>
      <c r="I46" s="42"/>
      <c r="J46" s="42"/>
      <c r="K46" s="42"/>
      <c r="L46" s="41"/>
      <c r="M46" s="42"/>
      <c r="N46" s="42"/>
      <c r="O46" s="41"/>
      <c r="P46" s="42"/>
      <c r="Q46" s="41"/>
      <c r="R46" s="41"/>
      <c r="S46" s="16"/>
      <c r="T46" s="16"/>
      <c r="U46" s="16">
        <v>140</v>
      </c>
      <c r="V46" s="42">
        <v>300</v>
      </c>
      <c r="W46" s="42">
        <v>250</v>
      </c>
      <c r="X46" s="42">
        <v>300</v>
      </c>
      <c r="Y46" s="41">
        <v>10</v>
      </c>
      <c r="Z46" s="42"/>
      <c r="AA46" s="43">
        <f aca="true" t="shared" si="19" ref="AA46:AA54">SUM(C46:Z46)</f>
        <v>1000</v>
      </c>
      <c r="AB46" s="28"/>
      <c r="AC46" s="5"/>
      <c r="AD46" s="38" t="s">
        <v>34</v>
      </c>
    </row>
    <row r="47" spans="1:30" ht="13.5" customHeight="1">
      <c r="A47" s="41"/>
      <c r="B47" s="44" t="s">
        <v>35</v>
      </c>
      <c r="C47" s="45"/>
      <c r="D47" s="45"/>
      <c r="E47" s="45"/>
      <c r="F47" s="45"/>
      <c r="G47" s="45"/>
      <c r="H47" s="45"/>
      <c r="I47" s="45"/>
      <c r="J47" s="45"/>
      <c r="K47" s="45"/>
      <c r="L47" s="41"/>
      <c r="M47" s="45"/>
      <c r="N47" s="45"/>
      <c r="O47" s="41"/>
      <c r="P47" s="45"/>
      <c r="Q47" s="45">
        <f>2000*0.07</f>
        <v>140</v>
      </c>
      <c r="R47" s="41"/>
      <c r="S47" s="41"/>
      <c r="T47" s="45"/>
      <c r="U47" s="41"/>
      <c r="V47" s="45"/>
      <c r="W47" s="45"/>
      <c r="X47" s="45"/>
      <c r="Y47" s="45"/>
      <c r="Z47" s="45">
        <f>2000*0.07</f>
        <v>140</v>
      </c>
      <c r="AA47" s="43">
        <f t="shared" si="19"/>
        <v>280</v>
      </c>
      <c r="AC47" s="5"/>
      <c r="AD47" s="38" t="s">
        <v>35</v>
      </c>
    </row>
    <row r="48" spans="1:30" ht="13.5" customHeight="1">
      <c r="A48" s="41"/>
      <c r="B48" s="41" t="s">
        <v>36</v>
      </c>
      <c r="C48" s="42"/>
      <c r="D48" s="42"/>
      <c r="E48" s="42"/>
      <c r="F48" s="42"/>
      <c r="G48" s="42"/>
      <c r="H48" s="42"/>
      <c r="I48" s="9">
        <v>270</v>
      </c>
      <c r="L48" s="45">
        <v>250</v>
      </c>
      <c r="M48" s="42">
        <v>70</v>
      </c>
      <c r="N48" s="42"/>
      <c r="O48" s="45">
        <v>150</v>
      </c>
      <c r="P48" s="42">
        <v>180</v>
      </c>
      <c r="Q48" s="42"/>
      <c r="R48" s="45">
        <v>160</v>
      </c>
      <c r="S48" s="45">
        <v>100</v>
      </c>
      <c r="T48" s="42">
        <v>200</v>
      </c>
      <c r="U48" s="45">
        <v>160</v>
      </c>
      <c r="V48" s="42"/>
      <c r="W48" s="42"/>
      <c r="X48" s="42"/>
      <c r="Y48" s="42"/>
      <c r="Z48" s="42"/>
      <c r="AA48" s="43">
        <f t="shared" si="19"/>
        <v>1540</v>
      </c>
      <c r="AC48" s="5"/>
      <c r="AD48" s="38" t="s">
        <v>36</v>
      </c>
    </row>
    <row r="49" spans="1:30" ht="13.5" customHeight="1">
      <c r="A49" s="41"/>
      <c r="B49" s="41" t="s">
        <v>37</v>
      </c>
      <c r="C49" s="41"/>
      <c r="D49" s="41"/>
      <c r="E49" s="41"/>
      <c r="F49" s="41">
        <f>F7*12%/12</f>
        <v>4.5</v>
      </c>
      <c r="G49" s="41">
        <f>(F7+G7)*12%/12</f>
        <v>4.5</v>
      </c>
      <c r="H49" s="41">
        <f>(F7+G7+H7)*12%/12</f>
        <v>5.3</v>
      </c>
      <c r="I49" s="41">
        <f>(F7+G7+H7+I7)*12%/12</f>
        <v>5.3</v>
      </c>
      <c r="J49" s="41">
        <f>(F7+G7+H7+I7+J7)*12%/12</f>
        <v>8.2</v>
      </c>
      <c r="K49" s="41">
        <f>(F7+G7+H7+I7+J7+K7)*12%/12</f>
        <v>10.4</v>
      </c>
      <c r="L49" s="41">
        <f>(F7+G7+H7+I7+J7+K7+L7)*12%/12</f>
        <v>10.4</v>
      </c>
      <c r="M49" s="41">
        <f>(F7+G7+H7+I7+J7+K7+L7+M7)*12%/12</f>
        <v>10.4</v>
      </c>
      <c r="N49" s="41">
        <f>(F7+G7+H7+I7+J7+K7+L7+M7+N7)*12%/12</f>
        <v>10.700000000000001</v>
      </c>
      <c r="O49" s="41">
        <f>(F7+G7+H7+I7+J7+K7+L7+M7+N7+O7)*12%/12</f>
        <v>10.700000000000001</v>
      </c>
      <c r="P49" s="41">
        <f>(F7+G7+H7+I7+J7+K7+L7+M7+N7+O7+P7)*12%/12</f>
        <v>10.700000000000001</v>
      </c>
      <c r="Q49" s="41">
        <f>(F7+G7+H7+I7+J7+K7+L7+M7+N7+O7+P7+Q7)*12%/12</f>
        <v>15.399999999999999</v>
      </c>
      <c r="R49" s="41">
        <f>(F7+G7+H7+I7+J7+K7+L7+M7+N7+O7+P7+Q7+R7)*12%/12</f>
        <v>15.399999999999999</v>
      </c>
      <c r="S49" s="41">
        <f>(F7+G7+H7+I7+J7+K7+L7+M7+N7+O7+P7+Q7+R7+S7)*12%/12</f>
        <v>15.399999999999999</v>
      </c>
      <c r="T49" s="41">
        <f>(F7+G7+H7+I7+J7+K7+L7+M7+N7+O7+P7+Q7+R7+S7+T7)*12%/12</f>
        <v>15.399999999999999</v>
      </c>
      <c r="U49" s="41">
        <f>(F7+G7+H7+I7+J7+K7+L7+M7+N7+O7+P7+Q7+R7+S7+T7+U7)*12%/12</f>
        <v>15.399999999999999</v>
      </c>
      <c r="V49" s="41">
        <f>(F7+G7+H7+I7+J7+K7+L7+M7+N7+O7+P7+Q7+R7+S7+T7+U7+V7)*12%/12</f>
        <v>15.399999999999999</v>
      </c>
      <c r="W49" s="41">
        <f>(F7+G7+H7+I7+J7+K7+L7+M7+N7+O7+P7+Q7+R7+S7+T7+U7+V7+W7)*12%/12</f>
        <v>15.399999999999999</v>
      </c>
      <c r="X49" s="41">
        <f>(F7+G7+H7+I7+J7+K7+L7+M7+N7+O7+P7+Q7+R7+S7+T7+U7+V7+W7+X7)*12%/12</f>
        <v>15.399999999999999</v>
      </c>
      <c r="Y49" s="41">
        <f>(F7+G7+H7+I7+J7+K7+L7+M7+N7+O7+P7+Q7+R7+S7+T7+U7+V7+W7+X7+Y7)*12%/12</f>
        <v>15.399999999999999</v>
      </c>
      <c r="Z49" s="41">
        <f>(F7+G7+H7+I7+J7+K7+L7+M7+N7+O7+P7+Q7+R7+S7+T7+U7+V7+W7+X7+Y7+Z7)*12%/12</f>
        <v>15.399999999999999</v>
      </c>
      <c r="AA49" s="43">
        <f t="shared" si="19"/>
        <v>245.10000000000005</v>
      </c>
      <c r="AC49" s="5"/>
      <c r="AD49" s="38" t="s">
        <v>37</v>
      </c>
    </row>
    <row r="50" spans="1:30" ht="13.5" customHeight="1">
      <c r="A50" s="41"/>
      <c r="B50" s="41" t="s">
        <v>46</v>
      </c>
      <c r="C50" s="41"/>
      <c r="D50" s="41"/>
      <c r="E50" s="41"/>
      <c r="F50" s="46">
        <f>F8*7%/12</f>
        <v>0</v>
      </c>
      <c r="G50" s="46">
        <f>(F8+G8)*7%/12</f>
        <v>0</v>
      </c>
      <c r="H50" s="46">
        <f>(F8+G8+H8)*7%/12</f>
        <v>0</v>
      </c>
      <c r="I50" s="46">
        <f>(F8+G8+H8+I8)*7%/12</f>
        <v>0</v>
      </c>
      <c r="J50" s="46">
        <f>(F8+G8+H8+I8+J8)*7%/12</f>
        <v>0</v>
      </c>
      <c r="K50" s="46">
        <f>(F8+G8+H8+I8+J8+K8)*7%/12</f>
        <v>0</v>
      </c>
      <c r="L50" s="46">
        <f>(F8+G8+H8+I8+J8+K8+L8)*7%/12</f>
        <v>0</v>
      </c>
      <c r="M50" s="46">
        <f>(F8+G8+H8+I8+J8+K8+L8+M8)*7%/12</f>
        <v>0</v>
      </c>
      <c r="N50" s="46">
        <f>(F8+G8+H8+I8+J8+K8+L8+M8+N8)*7%/12</f>
        <v>0</v>
      </c>
      <c r="O50" s="46">
        <f>(F8+G8+H8+I8+J8+K8+L8+M8+N8+O8)*7%/12</f>
        <v>0</v>
      </c>
      <c r="P50" s="46">
        <f>(F8+G8+H8+I8+J8+K8+L8+M8+N8+O8+P8)*7%/12</f>
        <v>0</v>
      </c>
      <c r="Q50" s="46">
        <f>(F8+G8+H8+I8+J8+K8+L8+M8+N8+O8+P8+Q8)*7%/12</f>
        <v>0</v>
      </c>
      <c r="R50" s="46">
        <f>(F8+G8+H8+I8+J8+K8+L8+M8+N8+O8+P8+Q8+R8)*7%/12</f>
        <v>0</v>
      </c>
      <c r="S50" s="46">
        <f>(F8+G8+H8+I8+J8+K8+L8+M8+N8+O8+P8+Q8+R8+S8)*7%/12</f>
        <v>0</v>
      </c>
      <c r="T50" s="46">
        <f>(F8+G8+H8+I8+J8+K8+L8+M8+N8+O8+P8+Q8+R8+S8+T8)*7%/12</f>
        <v>0</v>
      </c>
      <c r="U50" s="46">
        <f>(F8+G8+H8+I8+J8+K8+L8+M8+N8+O8+P8+Q8+R8+S8+T8+U8)*7%/12</f>
        <v>0</v>
      </c>
      <c r="V50" s="46">
        <f>(F8+G8+H8+I8+J8+K8+L8+M8+N8+O8+P8+Q8+R8+S8+T8+U8+V8)*7%/12</f>
        <v>0</v>
      </c>
      <c r="W50" s="46">
        <f>(F8+G8+H8+I8+J8+K8+L8+M8+N8+O8+P8+Q8+R8+S8+T8+U8+V8+W8)*7%/12</f>
        <v>0</v>
      </c>
      <c r="X50" s="46">
        <f>(F8+G8+H8+I8+J8+K8+L8+M8+N8+O8+P8+Q8+R8+S8+T8+U8+V8+W8+X8)*7%/12</f>
        <v>0</v>
      </c>
      <c r="Y50" s="46">
        <f>(F8+G8+H8+I8+J8+K8+L8+M8+N8+O8+P8+Q8+R8+S8+T8+U8+V8+W8+X8+Y8)*7%/12</f>
        <v>0</v>
      </c>
      <c r="Z50" s="41">
        <f>(F8+G8+H8+I8+J8+K8+L8+M8+N8+O8+P8+Q8+R8+S8+T8+U8+V8+W8+X8+Y8+Z8)*7%/12</f>
        <v>0</v>
      </c>
      <c r="AA50" s="43">
        <f t="shared" si="19"/>
        <v>0</v>
      </c>
      <c r="AC50" s="5"/>
      <c r="AD50" s="38" t="s">
        <v>46</v>
      </c>
    </row>
    <row r="51" spans="1:30" ht="12.75" customHeight="1">
      <c r="A51" s="41"/>
      <c r="B51" s="47" t="s">
        <v>2</v>
      </c>
      <c r="C51" s="48"/>
      <c r="D51" s="48"/>
      <c r="E51" s="48"/>
      <c r="F51" s="49">
        <f>SUM(F46:F50)</f>
        <v>4.5</v>
      </c>
      <c r="G51" s="49">
        <f aca="true" t="shared" si="20" ref="G51:Z51">SUM(G46:G50)</f>
        <v>4.5</v>
      </c>
      <c r="H51" s="49">
        <f t="shared" si="20"/>
        <v>5.3</v>
      </c>
      <c r="I51" s="49">
        <f t="shared" si="20"/>
        <v>275.3</v>
      </c>
      <c r="J51" s="49">
        <f t="shared" si="20"/>
        <v>8.2</v>
      </c>
      <c r="K51" s="49">
        <f t="shared" si="20"/>
        <v>10.4</v>
      </c>
      <c r="L51" s="49">
        <f t="shared" si="20"/>
        <v>260.4</v>
      </c>
      <c r="M51" s="49">
        <f t="shared" si="20"/>
        <v>80.4</v>
      </c>
      <c r="N51" s="49">
        <f t="shared" si="20"/>
        <v>10.700000000000001</v>
      </c>
      <c r="O51" s="49">
        <f t="shared" si="20"/>
        <v>160.7</v>
      </c>
      <c r="P51" s="49">
        <f t="shared" si="20"/>
        <v>190.7</v>
      </c>
      <c r="Q51" s="49">
        <f t="shared" si="20"/>
        <v>155.4</v>
      </c>
      <c r="R51" s="49">
        <f t="shared" si="20"/>
        <v>175.4</v>
      </c>
      <c r="S51" s="49">
        <f>SUM(S46:S50)</f>
        <v>115.4</v>
      </c>
      <c r="T51" s="49">
        <f>SUM(T46:T50)</f>
        <v>215.4</v>
      </c>
      <c r="U51" s="49">
        <f>SUM(U46:U50)</f>
        <v>315.4</v>
      </c>
      <c r="V51" s="49">
        <f t="shared" si="20"/>
        <v>315.4</v>
      </c>
      <c r="W51" s="49">
        <f t="shared" si="20"/>
        <v>265.4</v>
      </c>
      <c r="X51" s="49">
        <f>SUM(X46:X50)</f>
        <v>315.4</v>
      </c>
      <c r="Y51" s="49">
        <f>SUM(Y46:Y50)</f>
        <v>25.4</v>
      </c>
      <c r="Z51" s="48">
        <f t="shared" si="20"/>
        <v>155.4</v>
      </c>
      <c r="AA51" s="50">
        <f t="shared" si="19"/>
        <v>3065.100000000001</v>
      </c>
      <c r="AC51" s="5"/>
      <c r="AD51" s="38" t="s">
        <v>2</v>
      </c>
    </row>
    <row r="52" spans="1:30" ht="13.5" customHeight="1">
      <c r="A52" s="44" t="s">
        <v>38</v>
      </c>
      <c r="B52" s="41"/>
      <c r="C52" s="45">
        <f aca="true" t="shared" si="21" ref="C52:R52">(C16+C17+C18+C19+C25+C26+C29+C30+C31+C32)*0.25+C23*0.12</f>
        <v>75.5</v>
      </c>
      <c r="D52" s="45">
        <f t="shared" si="21"/>
        <v>13</v>
      </c>
      <c r="E52" s="45">
        <f>(E16+E17+E18+E19+E25+E26+E29+E30+E31+E32)*0.25+E23*0.12</f>
        <v>383</v>
      </c>
      <c r="F52" s="45">
        <f>(F16+F17+F18+F19+F25+F26+F29+F30+F31+F32)*0.25+F23*0.12</f>
        <v>320.575</v>
      </c>
      <c r="G52" s="45">
        <f t="shared" si="21"/>
        <v>3.375</v>
      </c>
      <c r="H52" s="45">
        <f t="shared" si="21"/>
        <v>46.824999999999996</v>
      </c>
      <c r="I52" s="45">
        <f t="shared" si="21"/>
        <v>3.375</v>
      </c>
      <c r="J52" s="45">
        <f t="shared" si="21"/>
        <v>48.699999999999996</v>
      </c>
      <c r="K52" s="45">
        <f t="shared" si="21"/>
        <v>49.949999999999996</v>
      </c>
      <c r="L52" s="45">
        <f t="shared" si="21"/>
        <v>48.699999999999996</v>
      </c>
      <c r="M52" s="45">
        <f t="shared" si="21"/>
        <v>58.29</v>
      </c>
      <c r="N52" s="45">
        <f t="shared" si="21"/>
        <v>64.335</v>
      </c>
      <c r="O52" s="45">
        <f t="shared" si="21"/>
        <v>67.88</v>
      </c>
      <c r="P52" s="45">
        <f t="shared" si="21"/>
        <v>67.88</v>
      </c>
      <c r="Q52" s="45">
        <f t="shared" si="21"/>
        <v>178.72</v>
      </c>
      <c r="R52" s="45">
        <f t="shared" si="21"/>
        <v>77.47</v>
      </c>
      <c r="S52" s="45">
        <f aca="true" t="shared" si="22" ref="S52:Z52">(S16+S17+S18+S19+S25+S26+S29+S30+S31+S32)*0.25+S23*0.12</f>
        <v>87.05999999999999</v>
      </c>
      <c r="T52" s="45">
        <f t="shared" si="22"/>
        <v>89.55999999999999</v>
      </c>
      <c r="U52" s="45">
        <f t="shared" si="22"/>
        <v>92.45</v>
      </c>
      <c r="V52" s="45">
        <f t="shared" si="22"/>
        <v>95.89999999999999</v>
      </c>
      <c r="W52" s="45">
        <f t="shared" si="22"/>
        <v>110.49</v>
      </c>
      <c r="X52" s="45">
        <f t="shared" si="22"/>
        <v>105.49</v>
      </c>
      <c r="Y52" s="45">
        <f t="shared" si="22"/>
        <v>105.49</v>
      </c>
      <c r="Z52" s="45">
        <f t="shared" si="22"/>
        <v>110.49</v>
      </c>
      <c r="AA52" s="50">
        <f t="shared" si="19"/>
        <v>2304.5049999999997</v>
      </c>
      <c r="AC52" s="34" t="s">
        <v>38</v>
      </c>
      <c r="AD52" s="38"/>
    </row>
    <row r="53" spans="1:30" ht="13.5" customHeight="1">
      <c r="A53" s="44" t="s">
        <v>39</v>
      </c>
      <c r="B53" s="41"/>
      <c r="C53" s="45"/>
      <c r="D53" s="51">
        <f aca="true" t="shared" si="23" ref="D53:Z53">C11-C52</f>
        <v>-75.5</v>
      </c>
      <c r="E53" s="51">
        <f t="shared" si="23"/>
        <v>-13</v>
      </c>
      <c r="F53" s="51">
        <f t="shared" si="23"/>
        <v>-383</v>
      </c>
      <c r="G53" s="51">
        <f t="shared" si="23"/>
        <v>-320.575</v>
      </c>
      <c r="H53" s="51">
        <f t="shared" si="23"/>
        <v>-3.375</v>
      </c>
      <c r="I53" s="51">
        <f t="shared" si="23"/>
        <v>3.017000000000003</v>
      </c>
      <c r="J53" s="51">
        <f t="shared" si="23"/>
        <v>46.467</v>
      </c>
      <c r="K53" s="51">
        <f t="shared" si="23"/>
        <v>1.142000000000003</v>
      </c>
      <c r="L53" s="51">
        <f t="shared" si="23"/>
        <v>-0.10799999999999699</v>
      </c>
      <c r="M53" s="51">
        <f t="shared" si="23"/>
        <v>50.984</v>
      </c>
      <c r="N53" s="51">
        <f t="shared" si="23"/>
        <v>41.394</v>
      </c>
      <c r="O53" s="51">
        <f t="shared" si="23"/>
        <v>35.349000000000004</v>
      </c>
      <c r="P53" s="51">
        <f t="shared" si="23"/>
        <v>51.74080000000001</v>
      </c>
      <c r="Q53" s="51">
        <f t="shared" si="23"/>
        <v>61.70919999999998</v>
      </c>
      <c r="R53" s="51">
        <f t="shared" si="23"/>
        <v>-39.16239999999999</v>
      </c>
      <c r="S53" s="51">
        <f t="shared" si="23"/>
        <v>62.08760000000001</v>
      </c>
      <c r="T53" s="51">
        <f t="shared" si="23"/>
        <v>72.4344</v>
      </c>
      <c r="U53" s="51">
        <f t="shared" si="23"/>
        <v>69.9344</v>
      </c>
      <c r="V53" s="51">
        <f t="shared" si="23"/>
        <v>86.98119999999999</v>
      </c>
      <c r="W53" s="51">
        <f t="shared" si="23"/>
        <v>83.5312</v>
      </c>
      <c r="X53" s="51">
        <f t="shared" si="23"/>
        <v>88.878</v>
      </c>
      <c r="Y53" s="51">
        <f t="shared" si="23"/>
        <v>93.878</v>
      </c>
      <c r="Z53" s="51">
        <f t="shared" si="23"/>
        <v>113.8148</v>
      </c>
      <c r="AA53" s="50">
        <f t="shared" si="19"/>
        <v>128.6222000000002</v>
      </c>
      <c r="AC53" s="34" t="s">
        <v>39</v>
      </c>
      <c r="AD53" s="38"/>
    </row>
    <row r="54" spans="1:30" ht="15" customHeight="1">
      <c r="A54" s="41"/>
      <c r="B54" s="47" t="s">
        <v>40</v>
      </c>
      <c r="C54" s="52">
        <f aca="true" t="shared" si="24" ref="C54:Z54">C21+C27+C33+C37+C44+C51+C52+C53</f>
        <v>377.5</v>
      </c>
      <c r="D54" s="52">
        <f t="shared" si="24"/>
        <v>-10.5</v>
      </c>
      <c r="E54" s="52">
        <f t="shared" si="24"/>
        <v>1912</v>
      </c>
      <c r="F54" s="52">
        <f t="shared" si="24"/>
        <v>1551.325</v>
      </c>
      <c r="G54" s="52">
        <f t="shared" si="24"/>
        <v>-24.94999999999999</v>
      </c>
      <c r="H54" s="52">
        <f t="shared" si="24"/>
        <v>577</v>
      </c>
      <c r="I54" s="52">
        <f t="shared" si="24"/>
        <v>469.442</v>
      </c>
      <c r="J54" s="52">
        <f t="shared" si="24"/>
        <v>741.3670000000001</v>
      </c>
      <c r="K54" s="52">
        <f t="shared" si="24"/>
        <v>720.4920000000001</v>
      </c>
      <c r="L54" s="52">
        <f t="shared" si="24"/>
        <v>946.9920000000001</v>
      </c>
      <c r="M54" s="52">
        <f t="shared" si="24"/>
        <v>941.6740000000001</v>
      </c>
      <c r="N54" s="52">
        <f t="shared" si="24"/>
        <v>945.929</v>
      </c>
      <c r="O54" s="52">
        <f t="shared" si="24"/>
        <v>1150.9289999999999</v>
      </c>
      <c r="P54" s="52">
        <f t="shared" si="24"/>
        <v>1194.3208</v>
      </c>
      <c r="Q54" s="52">
        <f t="shared" si="24"/>
        <v>1816.8292000000001</v>
      </c>
      <c r="R54" s="52">
        <f t="shared" si="24"/>
        <v>1243.7076000000002</v>
      </c>
      <c r="S54" s="52">
        <f t="shared" si="24"/>
        <v>1421.5476</v>
      </c>
      <c r="T54" s="52">
        <f t="shared" si="24"/>
        <v>1561.3944000000001</v>
      </c>
      <c r="U54" s="52">
        <f t="shared" si="24"/>
        <v>1697.7844000000002</v>
      </c>
      <c r="V54" s="52">
        <f t="shared" si="24"/>
        <v>1760.2812000000001</v>
      </c>
      <c r="W54" s="52">
        <f t="shared" si="24"/>
        <v>1873.4212</v>
      </c>
      <c r="X54" s="52">
        <f t="shared" si="24"/>
        <v>1869.768</v>
      </c>
      <c r="Y54" s="52">
        <f t="shared" si="24"/>
        <v>1600.768</v>
      </c>
      <c r="Z54" s="52">
        <f t="shared" si="24"/>
        <v>1791.7048000000002</v>
      </c>
      <c r="AA54" s="50">
        <f t="shared" si="19"/>
        <v>28130.7272</v>
      </c>
      <c r="AB54" s="17">
        <f>AA53+AA52+AA51+AA44+AA37+AA33+AA27+AA21</f>
        <v>28130.7272</v>
      </c>
      <c r="AC54" s="5"/>
      <c r="AD54" s="38" t="s">
        <v>40</v>
      </c>
    </row>
    <row r="55" spans="1:30" ht="10.5" customHeight="1">
      <c r="A55" s="41"/>
      <c r="B55" s="47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0"/>
      <c r="AC55" s="5"/>
      <c r="AD55" s="38"/>
    </row>
    <row r="56" spans="1:30" ht="15" customHeight="1">
      <c r="A56" s="41"/>
      <c r="B56" s="42" t="s">
        <v>43</v>
      </c>
      <c r="C56" s="52">
        <f aca="true" t="shared" si="25" ref="C56:Z56">C12-C54</f>
        <v>22.5</v>
      </c>
      <c r="D56" s="52">
        <f t="shared" si="25"/>
        <v>10.5</v>
      </c>
      <c r="E56" s="52">
        <f t="shared" si="25"/>
        <v>-12</v>
      </c>
      <c r="F56" s="52">
        <f t="shared" si="25"/>
        <v>-1.3250000000000455</v>
      </c>
      <c r="G56" s="52">
        <f t="shared" si="25"/>
        <v>24.94999999999999</v>
      </c>
      <c r="H56" s="52">
        <f t="shared" si="25"/>
        <v>-31.807999999999993</v>
      </c>
      <c r="I56" s="52">
        <f t="shared" si="25"/>
        <v>-4.25</v>
      </c>
      <c r="J56" s="52">
        <f t="shared" si="25"/>
        <v>13.824999999999932</v>
      </c>
      <c r="K56" s="52">
        <f t="shared" si="25"/>
        <v>-35.30000000000007</v>
      </c>
      <c r="L56" s="52">
        <f t="shared" si="25"/>
        <v>-16.60800000000006</v>
      </c>
      <c r="M56" s="52">
        <f t="shared" si="25"/>
        <v>-11.290000000000077</v>
      </c>
      <c r="N56" s="52">
        <f t="shared" si="25"/>
        <v>14.455000000000041</v>
      </c>
      <c r="O56" s="52">
        <f t="shared" si="25"/>
        <v>-34.4681999999998</v>
      </c>
      <c r="P56" s="52">
        <f t="shared" si="25"/>
        <v>15.178399999999783</v>
      </c>
      <c r="Q56" s="52">
        <f t="shared" si="25"/>
        <v>-44.29160000000002</v>
      </c>
      <c r="R56" s="52">
        <f t="shared" si="25"/>
        <v>58.82999999999993</v>
      </c>
      <c r="S56" s="52">
        <f t="shared" si="25"/>
        <v>67.06679999999983</v>
      </c>
      <c r="T56" s="52">
        <f t="shared" si="25"/>
        <v>-72.7800000000002</v>
      </c>
      <c r="U56" s="52">
        <f t="shared" si="25"/>
        <v>-23.09320000000025</v>
      </c>
      <c r="V56" s="52">
        <f t="shared" si="25"/>
        <v>-85.59000000000015</v>
      </c>
      <c r="W56" s="52">
        <f t="shared" si="25"/>
        <v>-12.65319999999997</v>
      </c>
      <c r="X56" s="52">
        <f t="shared" si="25"/>
        <v>-9</v>
      </c>
      <c r="Y56" s="52">
        <f t="shared" si="25"/>
        <v>446.0767999999998</v>
      </c>
      <c r="Z56" s="52">
        <f t="shared" si="25"/>
        <v>255.13999999999965</v>
      </c>
      <c r="AA56" s="41"/>
      <c r="AC56" s="5"/>
      <c r="AD56" s="38" t="s">
        <v>43</v>
      </c>
    </row>
    <row r="57" spans="1:30" ht="15" customHeight="1">
      <c r="A57" s="53"/>
      <c r="B57" s="54" t="s">
        <v>41</v>
      </c>
      <c r="C57" s="52">
        <f>C12-C54</f>
        <v>22.5</v>
      </c>
      <c r="D57" s="52">
        <f aca="true" t="shared" si="26" ref="D57:Z57">D12-D54+C57</f>
        <v>33</v>
      </c>
      <c r="E57" s="52">
        <f t="shared" si="26"/>
        <v>21</v>
      </c>
      <c r="F57" s="52">
        <f t="shared" si="26"/>
        <v>19.674999999999955</v>
      </c>
      <c r="G57" s="52">
        <f t="shared" si="26"/>
        <v>44.62499999999994</v>
      </c>
      <c r="H57" s="52">
        <f t="shared" si="26"/>
        <v>12.81699999999995</v>
      </c>
      <c r="I57" s="52">
        <f t="shared" si="26"/>
        <v>8.56699999999995</v>
      </c>
      <c r="J57" s="52">
        <f t="shared" si="26"/>
        <v>22.391999999999882</v>
      </c>
      <c r="K57" s="52">
        <f t="shared" si="26"/>
        <v>-12.908000000000186</v>
      </c>
      <c r="L57" s="52">
        <f t="shared" si="26"/>
        <v>-29.516000000000247</v>
      </c>
      <c r="M57" s="52">
        <f t="shared" si="26"/>
        <v>-40.806000000000324</v>
      </c>
      <c r="N57" s="52">
        <f t="shared" si="26"/>
        <v>-26.351000000000283</v>
      </c>
      <c r="O57" s="52">
        <f t="shared" si="26"/>
        <v>-60.81920000000008</v>
      </c>
      <c r="P57" s="52">
        <f t="shared" si="26"/>
        <v>-45.6408000000003</v>
      </c>
      <c r="Q57" s="52">
        <f t="shared" si="26"/>
        <v>-89.93240000000031</v>
      </c>
      <c r="R57" s="52">
        <f t="shared" si="26"/>
        <v>-31.102400000000387</v>
      </c>
      <c r="S57" s="52">
        <f t="shared" si="26"/>
        <v>35.96439999999944</v>
      </c>
      <c r="T57" s="52">
        <f t="shared" si="26"/>
        <v>-36.81560000000076</v>
      </c>
      <c r="U57" s="52">
        <f t="shared" si="26"/>
        <v>-59.90880000000101</v>
      </c>
      <c r="V57" s="52">
        <f t="shared" si="26"/>
        <v>-145.49880000000115</v>
      </c>
      <c r="W57" s="52">
        <f t="shared" si="26"/>
        <v>-158.15200000000112</v>
      </c>
      <c r="X57" s="52">
        <f t="shared" si="26"/>
        <v>-167.15200000000112</v>
      </c>
      <c r="Y57" s="52">
        <f t="shared" si="26"/>
        <v>278.9247999999987</v>
      </c>
      <c r="Z57" s="52">
        <f t="shared" si="26"/>
        <v>534.0647999999983</v>
      </c>
      <c r="AA57" s="41"/>
      <c r="AB57" s="4">
        <f>AA12-AA54</f>
        <v>534.0648000000001</v>
      </c>
      <c r="AC57" s="35"/>
      <c r="AD57" s="40" t="s">
        <v>41</v>
      </c>
    </row>
    <row r="58" spans="1:30" ht="8.2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C58" s="5"/>
      <c r="AD58" s="38"/>
    </row>
    <row r="59" spans="1:30" ht="13.5" customHeight="1">
      <c r="A59" s="41"/>
      <c r="B59" s="55" t="s">
        <v>1</v>
      </c>
      <c r="C59" s="48">
        <v>1</v>
      </c>
      <c r="D59" s="48">
        <v>2</v>
      </c>
      <c r="E59" s="48">
        <v>3</v>
      </c>
      <c r="F59" s="48">
        <v>4</v>
      </c>
      <c r="G59" s="48">
        <v>5</v>
      </c>
      <c r="H59" s="48">
        <v>6</v>
      </c>
      <c r="I59" s="48">
        <v>7</v>
      </c>
      <c r="J59" s="48">
        <v>8</v>
      </c>
      <c r="K59" s="48">
        <v>9</v>
      </c>
      <c r="L59" s="48">
        <v>10</v>
      </c>
      <c r="M59" s="48">
        <v>11</v>
      </c>
      <c r="N59" s="48">
        <v>12</v>
      </c>
      <c r="O59" s="48">
        <v>13</v>
      </c>
      <c r="P59" s="48">
        <v>14</v>
      </c>
      <c r="Q59" s="48">
        <v>15</v>
      </c>
      <c r="R59" s="48">
        <v>16</v>
      </c>
      <c r="S59" s="48">
        <v>17</v>
      </c>
      <c r="T59" s="48">
        <v>18</v>
      </c>
      <c r="U59" s="48">
        <v>19</v>
      </c>
      <c r="V59" s="48">
        <v>20</v>
      </c>
      <c r="W59" s="48">
        <v>21</v>
      </c>
      <c r="X59" s="48">
        <v>22</v>
      </c>
      <c r="Y59" s="48">
        <v>23</v>
      </c>
      <c r="Z59" s="48">
        <v>24</v>
      </c>
      <c r="AA59" s="50"/>
      <c r="AC59" s="5"/>
      <c r="AD59" s="36" t="s">
        <v>1</v>
      </c>
    </row>
    <row r="60" spans="2:27" ht="15.75">
      <c r="B60" s="9" t="s">
        <v>54</v>
      </c>
      <c r="C60" s="17"/>
      <c r="F60" s="17">
        <f>1000-F7+F48</f>
        <v>550</v>
      </c>
      <c r="G60" s="17">
        <f aca="true" t="shared" si="27" ref="G60:Z60">F60-G7+G48</f>
        <v>550</v>
      </c>
      <c r="H60" s="17">
        <f t="shared" si="27"/>
        <v>470</v>
      </c>
      <c r="I60" s="17">
        <f t="shared" si="27"/>
        <v>740</v>
      </c>
      <c r="J60" s="17">
        <f t="shared" si="27"/>
        <v>450</v>
      </c>
      <c r="K60" s="17">
        <f t="shared" si="27"/>
        <v>230</v>
      </c>
      <c r="L60" s="17">
        <f t="shared" si="27"/>
        <v>480</v>
      </c>
      <c r="M60" s="17">
        <f t="shared" si="27"/>
        <v>550</v>
      </c>
      <c r="N60" s="17">
        <f t="shared" si="27"/>
        <v>520</v>
      </c>
      <c r="O60" s="17">
        <f t="shared" si="27"/>
        <v>670</v>
      </c>
      <c r="P60" s="17">
        <f t="shared" si="27"/>
        <v>850</v>
      </c>
      <c r="Q60" s="17">
        <f t="shared" si="27"/>
        <v>380</v>
      </c>
      <c r="R60" s="17">
        <f t="shared" si="27"/>
        <v>540</v>
      </c>
      <c r="S60" s="17">
        <f t="shared" si="27"/>
        <v>640</v>
      </c>
      <c r="T60" s="17">
        <f t="shared" si="27"/>
        <v>840</v>
      </c>
      <c r="U60" s="17">
        <f t="shared" si="27"/>
        <v>1000</v>
      </c>
      <c r="V60" s="17">
        <f t="shared" si="27"/>
        <v>1000</v>
      </c>
      <c r="W60" s="17">
        <f t="shared" si="27"/>
        <v>1000</v>
      </c>
      <c r="X60" s="17">
        <f t="shared" si="27"/>
        <v>1000</v>
      </c>
      <c r="Y60" s="17">
        <f t="shared" si="27"/>
        <v>1000</v>
      </c>
      <c r="Z60" s="17">
        <f t="shared" si="27"/>
        <v>1000</v>
      </c>
      <c r="AA60" s="4"/>
    </row>
  </sheetData>
  <printOptions/>
  <pageMargins left="0.7874015748031497" right="0.3937007874015748" top="0.3937007874015748" bottom="0" header="0.11811023622047245" footer="0.5118110236220472"/>
  <pageSetup fitToHeight="1" fitToWidth="1" horizontalDpi="300" verticalDpi="300" orientation="landscape" paperSize="9" scale="71" r:id="rId1"/>
  <headerFooter alignWithMargins="0"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PC-3075</cp:lastModifiedBy>
  <cp:lastPrinted>1999-06-16T11:02:16Z</cp:lastPrinted>
  <dcterms:created xsi:type="dcterms:W3CDTF">1998-06-17T09:36:33Z</dcterms:created>
  <dcterms:modified xsi:type="dcterms:W3CDTF">2013-08-16T20:24:57Z</dcterms:modified>
  <cp:category/>
  <cp:version/>
  <cp:contentType/>
  <cp:contentStatus/>
</cp:coreProperties>
</file>